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fe9c242ed427b89/Dokumenter/aDoc Onedrive/TBF onedrive/"/>
    </mc:Choice>
  </mc:AlternateContent>
  <xr:revisionPtr revIDLastSave="133" documentId="8_{4C425549-A263-4DC4-B5DF-2CAD13AD68F4}" xr6:coauthVersionLast="47" xr6:coauthVersionMax="47" xr10:uidLastSave="{C377BA3B-ADC8-4EF1-A7BE-6338377F5A77}"/>
  <bookViews>
    <workbookView xWindow="-108" yWindow="-108" windowWidth="30936" windowHeight="16896" activeTab="1" xr2:uid="{32775C3E-6897-4764-80C8-B72C358F73A2}"/>
  </bookViews>
  <sheets>
    <sheet name="Diagram1" sheetId="5" r:id="rId1"/>
    <sheet name="Database" sheetId="1" r:id="rId2"/>
    <sheet name="Påmelding" sheetId="4" r:id="rId3"/>
    <sheet name="Skrogform" sheetId="2" r:id="rId4"/>
    <sheet name="Båtdata" sheetId="3" r:id="rId5"/>
  </sheets>
  <definedNames>
    <definedName name="Ballast">Database!$AR:$AR</definedName>
    <definedName name="BmStor">Database!$AB:$AB</definedName>
    <definedName name="Bredde">Database!$AN:$AN</definedName>
    <definedName name="Depl">Database!$AP:$AP</definedName>
    <definedName name="DeplTillegg">Database!$CN$7</definedName>
    <definedName name="Diesel">Database!$AV:$AV</definedName>
    <definedName name="Dyp_F">Database!$DC:$DC</definedName>
    <definedName name="Dypg">Database!$AO:$AO</definedName>
    <definedName name="DypLoa">Database!$DA:$DA</definedName>
    <definedName name="ErfaringsF">Database!$BJ:$BJ</definedName>
    <definedName name="Kjøl">Database!$AQ:$AQ</definedName>
    <definedName name="LBf">Database!$CO:$CO</definedName>
    <definedName name="Lf">Database!$CP:$CP</definedName>
    <definedName name="Loa">Database!$AL:$AL</definedName>
    <definedName name="Lwl">Database!$AM:$AM</definedName>
    <definedName name="Mast">Database!$AI:$AI</definedName>
    <definedName name="PropF">Database!$BI:$BI</definedName>
    <definedName name="Rigg">Database!$C:$C</definedName>
    <definedName name="RiggF">Database!$CG:$CG</definedName>
    <definedName name="RS1valgt">Database!$H$10</definedName>
    <definedName name="SaDeplf">Database!$CN:$CN</definedName>
    <definedName name="SAf">Database!$CN$4</definedName>
    <definedName name="SApRS1">Database!$L$7</definedName>
    <definedName name="Seil_1">Database!$CF:$CF</definedName>
    <definedName name="Seilareal">Database!$J:$J</definedName>
    <definedName name="SeilBeregnet">Database!$CD:$CD</definedName>
    <definedName name="Skaleringsfaktor">Database!$CM$7</definedName>
    <definedName name="Skrogfaktor">Database!$AK:$AK</definedName>
    <definedName name="StH">Database!$AE:$AE</definedName>
    <definedName name="StHfaktor">Database!$CQ:$CQ</definedName>
    <definedName name="StorS">Database!$U:$U</definedName>
    <definedName name="Strikkf1">Database!$CM$5</definedName>
    <definedName name="Strikkf2">Database!$CM$6</definedName>
    <definedName name="TBF">Database!$CM:$CM</definedName>
    <definedName name="TBFavrundet">Database!$CL:$CL</definedName>
    <definedName name="_xlnm.Print_Area" localSheetId="1">Database!$A$2:$AX$63</definedName>
    <definedName name="_xlnm.Print_Area" localSheetId="2">Påmelding!$A$1:$Q$89</definedName>
    <definedName name="_xlnm.Print_Titles" localSheetId="1">Database!$8:$8</definedName>
    <definedName name="Vann">Database!$AU:$AU</definedName>
    <definedName name="VektAnnet">Database!$AX:$AX</definedName>
    <definedName name="VektMotor">Database!$AT:$AT</definedName>
    <definedName name="Versjon">Database!$A$3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N11" i="1" l="1"/>
  <c r="CN115" i="1"/>
  <c r="CN15" i="1"/>
  <c r="CN19" i="1"/>
  <c r="CN23" i="1"/>
  <c r="CN27" i="1"/>
  <c r="CN31" i="1"/>
  <c r="CN37" i="1"/>
  <c r="CN41" i="1"/>
  <c r="CN47" i="1"/>
  <c r="CN56" i="1"/>
  <c r="CN61" i="1"/>
  <c r="CN65" i="1"/>
  <c r="CN66" i="1"/>
  <c r="CN69" i="1"/>
  <c r="CN72" i="1"/>
  <c r="CN75" i="1"/>
  <c r="CN77" i="1"/>
  <c r="CN79" i="1"/>
  <c r="CN84" i="1"/>
  <c r="CN87" i="1"/>
  <c r="CN90" i="1"/>
  <c r="CN93" i="1"/>
  <c r="CN96" i="1"/>
  <c r="CN97" i="1"/>
  <c r="CN103" i="1"/>
  <c r="CN108" i="1"/>
  <c r="CN112" i="1"/>
  <c r="CN119" i="1"/>
  <c r="CN123" i="1"/>
  <c r="CN127" i="1"/>
  <c r="CN131" i="1"/>
  <c r="CN135" i="1"/>
  <c r="CN141" i="1"/>
  <c r="CN145" i="1"/>
  <c r="CN153" i="1"/>
  <c r="CN154" i="1"/>
  <c r="CN163" i="1"/>
  <c r="CN164" i="1"/>
  <c r="CN169" i="1"/>
  <c r="CN173" i="1"/>
  <c r="CN180" i="1"/>
  <c r="CN186" i="1"/>
  <c r="CN193" i="1"/>
  <c r="CN198" i="1"/>
  <c r="CN203" i="1"/>
  <c r="CN204" i="1"/>
  <c r="CN205" i="1"/>
  <c r="CN209" i="1"/>
  <c r="CN212" i="1"/>
  <c r="CN219" i="1"/>
  <c r="CN223" i="1"/>
  <c r="CN228" i="1"/>
  <c r="CN231" i="1"/>
  <c r="CN236" i="1"/>
  <c r="CN237" i="1"/>
  <c r="CN238" i="1"/>
  <c r="CN241" i="1"/>
  <c r="CN243" i="1"/>
  <c r="CN246" i="1"/>
  <c r="CN249" i="1"/>
  <c r="CN251" i="1"/>
  <c r="CN253" i="1"/>
  <c r="CN256" i="1"/>
  <c r="CN260" i="1"/>
  <c r="CN263" i="1"/>
  <c r="CN266" i="1"/>
  <c r="AW41" i="1"/>
  <c r="AE84" i="1"/>
  <c r="AE85" i="1" s="1"/>
  <c r="AE86" i="1" s="1"/>
  <c r="FK86" i="1"/>
  <c r="FD86" i="1"/>
  <c r="EX86" i="1"/>
  <c r="DU86" i="1"/>
  <c r="DS86" i="1"/>
  <c r="DF86" i="1"/>
  <c r="CT86" i="1"/>
  <c r="CR86" i="1"/>
  <c r="CF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J86" i="1"/>
  <c r="I86" i="1"/>
  <c r="FK85" i="1"/>
  <c r="FD85" i="1"/>
  <c r="EX85" i="1"/>
  <c r="DU85" i="1"/>
  <c r="DS85" i="1"/>
  <c r="DF85" i="1"/>
  <c r="CU85" i="1"/>
  <c r="CT85" i="1" s="1"/>
  <c r="CS85" i="1"/>
  <c r="CR85" i="1" s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H85" i="1"/>
  <c r="BH86" i="1" s="1"/>
  <c r="BG85" i="1"/>
  <c r="BG86" i="1" s="1"/>
  <c r="BF85" i="1"/>
  <c r="BF86" i="1" s="1"/>
  <c r="AX85" i="1"/>
  <c r="AX86" i="1" s="1"/>
  <c r="AU85" i="1"/>
  <c r="AU86" i="1" s="1"/>
  <c r="AS85" i="1"/>
  <c r="AS86" i="1" s="1"/>
  <c r="AR85" i="1"/>
  <c r="AR86" i="1" s="1"/>
  <c r="AQ85" i="1"/>
  <c r="AQ86" i="1" s="1"/>
  <c r="AP85" i="1"/>
  <c r="AP86" i="1" s="1"/>
  <c r="AO85" i="1"/>
  <c r="AO86" i="1" s="1"/>
  <c r="AN85" i="1"/>
  <c r="AN86" i="1" s="1"/>
  <c r="AM85" i="1"/>
  <c r="AM86" i="1" s="1"/>
  <c r="CH86" i="1" s="1"/>
  <c r="AL85" i="1"/>
  <c r="AL86" i="1" s="1"/>
  <c r="AJ85" i="1"/>
  <c r="AJ86" i="1" s="1"/>
  <c r="AK86" i="1" s="1"/>
  <c r="AH85" i="1"/>
  <c r="AH86" i="1" s="1"/>
  <c r="AF85" i="1"/>
  <c r="AF86" i="1" s="1"/>
  <c r="J85" i="1"/>
  <c r="I85" i="1"/>
  <c r="C85" i="1"/>
  <c r="C86" i="1" s="1"/>
  <c r="FR84" i="1"/>
  <c r="FK84" i="1"/>
  <c r="FJ84" i="1"/>
  <c r="FD84" i="1"/>
  <c r="FC84" i="1"/>
  <c r="EX84" i="1"/>
  <c r="EW84" i="1"/>
  <c r="EQ84" i="1"/>
  <c r="EK84" i="1"/>
  <c r="EE84" i="1"/>
  <c r="DZ84" i="1"/>
  <c r="DU84" i="1"/>
  <c r="DT84" i="1"/>
  <c r="DS84" i="1"/>
  <c r="DR84" i="1"/>
  <c r="DP84" i="1"/>
  <c r="DO84" i="1"/>
  <c r="DF84" i="1"/>
  <c r="DE84" i="1"/>
  <c r="DB84" i="1"/>
  <c r="DC84" i="1" s="1"/>
  <c r="DA84" i="1"/>
  <c r="CT84" i="1"/>
  <c r="CR84" i="1"/>
  <c r="CQ84" i="1"/>
  <c r="CP84" i="1"/>
  <c r="CO84" i="1"/>
  <c r="CM84" i="1"/>
  <c r="CF84" i="1"/>
  <c r="BT84" i="1"/>
  <c r="BN84" i="1"/>
  <c r="BI84" i="1"/>
  <c r="AZ84" i="1"/>
  <c r="AY84" i="1"/>
  <c r="AV84" i="1"/>
  <c r="AV85" i="1" s="1"/>
  <c r="AV86" i="1" s="1"/>
  <c r="AT84" i="1"/>
  <c r="AT85" i="1" s="1"/>
  <c r="AT86" i="1" s="1"/>
  <c r="AK84" i="1"/>
  <c r="I84" i="1"/>
  <c r="B84" i="1"/>
  <c r="FK76" i="1"/>
  <c r="FD76" i="1"/>
  <c r="EX76" i="1"/>
  <c r="DU76" i="1"/>
  <c r="DS76" i="1"/>
  <c r="DF76" i="1"/>
  <c r="CU76" i="1"/>
  <c r="CS76" i="1"/>
  <c r="CR76" i="1" s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H76" i="1"/>
  <c r="BG76" i="1"/>
  <c r="BF76" i="1"/>
  <c r="BI76" i="1" s="1"/>
  <c r="AX76" i="1"/>
  <c r="AS76" i="1"/>
  <c r="AR76" i="1"/>
  <c r="AQ76" i="1"/>
  <c r="AP76" i="1"/>
  <c r="AO76" i="1"/>
  <c r="AN76" i="1"/>
  <c r="AM76" i="1"/>
  <c r="AL76" i="1"/>
  <c r="AJ76" i="1"/>
  <c r="AK76" i="1" s="1"/>
  <c r="AH76" i="1"/>
  <c r="AF76" i="1"/>
  <c r="AE76" i="1"/>
  <c r="J76" i="1"/>
  <c r="CF76" i="1" s="1"/>
  <c r="I76" i="1"/>
  <c r="C76" i="1"/>
  <c r="FR75" i="1"/>
  <c r="FK75" i="1"/>
  <c r="FJ75" i="1"/>
  <c r="FD75" i="1"/>
  <c r="FC75" i="1"/>
  <c r="EX75" i="1"/>
  <c r="EW75" i="1"/>
  <c r="EQ75" i="1"/>
  <c r="EK75" i="1"/>
  <c r="EE75" i="1"/>
  <c r="DZ75" i="1"/>
  <c r="DU75" i="1"/>
  <c r="DT75" i="1"/>
  <c r="DS75" i="1"/>
  <c r="DR75" i="1"/>
  <c r="DP75" i="1"/>
  <c r="DO75" i="1"/>
  <c r="DF75" i="1"/>
  <c r="DE75" i="1"/>
  <c r="DB75" i="1"/>
  <c r="DC75" i="1" s="1"/>
  <c r="DA75" i="1"/>
  <c r="CT75" i="1"/>
  <c r="CR75" i="1"/>
  <c r="CQ75" i="1"/>
  <c r="CP75" i="1"/>
  <c r="CO75" i="1"/>
  <c r="CM75" i="1"/>
  <c r="CF75" i="1"/>
  <c r="BT75" i="1"/>
  <c r="BN75" i="1"/>
  <c r="BI75" i="1"/>
  <c r="AZ75" i="1"/>
  <c r="AY75" i="1"/>
  <c r="AV75" i="1"/>
  <c r="AV76" i="1" s="1"/>
  <c r="AU75" i="1"/>
  <c r="AU76" i="1" s="1"/>
  <c r="AT75" i="1"/>
  <c r="AT76" i="1" s="1"/>
  <c r="AK75" i="1"/>
  <c r="I75" i="1"/>
  <c r="B75" i="1"/>
  <c r="FK58" i="1"/>
  <c r="FD58" i="1"/>
  <c r="EX58" i="1"/>
  <c r="DU58" i="1"/>
  <c r="DS58" i="1"/>
  <c r="DF58" i="1"/>
  <c r="CT58" i="1"/>
  <c r="CR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H58" i="1"/>
  <c r="BG58" i="1"/>
  <c r="BF58" i="1"/>
  <c r="AX58" i="1"/>
  <c r="AT58" i="1"/>
  <c r="AS58" i="1"/>
  <c r="AR58" i="1"/>
  <c r="AQ58" i="1"/>
  <c r="AP58" i="1"/>
  <c r="AO58" i="1"/>
  <c r="AN58" i="1"/>
  <c r="AM58" i="1"/>
  <c r="AL58" i="1"/>
  <c r="AJ58" i="1"/>
  <c r="AK58" i="1" s="1"/>
  <c r="AH58" i="1"/>
  <c r="AF58" i="1"/>
  <c r="AE58" i="1"/>
  <c r="J58" i="1"/>
  <c r="CF58" i="1" s="1"/>
  <c r="I58" i="1"/>
  <c r="C58" i="1"/>
  <c r="FK60" i="1"/>
  <c r="FD60" i="1"/>
  <c r="EX60" i="1"/>
  <c r="DU60" i="1"/>
  <c r="DS60" i="1"/>
  <c r="DF60" i="1"/>
  <c r="CT60" i="1"/>
  <c r="CR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J60" i="1"/>
  <c r="CF60" i="1" s="1"/>
  <c r="I60" i="1"/>
  <c r="FK59" i="1"/>
  <c r="FD59" i="1"/>
  <c r="EX59" i="1"/>
  <c r="DU59" i="1"/>
  <c r="DS59" i="1"/>
  <c r="DF59" i="1"/>
  <c r="CT59" i="1"/>
  <c r="CR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J59" i="1"/>
  <c r="CF59" i="1" s="1"/>
  <c r="I59" i="1"/>
  <c r="FK57" i="1"/>
  <c r="FD57" i="1"/>
  <c r="EX57" i="1"/>
  <c r="DU57" i="1"/>
  <c r="DS57" i="1"/>
  <c r="DF57" i="1"/>
  <c r="CU57" i="1"/>
  <c r="CT57" i="1" s="1"/>
  <c r="CS57" i="1"/>
  <c r="CR57" i="1" s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H57" i="1"/>
  <c r="BH59" i="1" s="1"/>
  <c r="BH60" i="1" s="1"/>
  <c r="BG57" i="1"/>
  <c r="BG59" i="1" s="1"/>
  <c r="BG60" i="1" s="1"/>
  <c r="BF57" i="1"/>
  <c r="AX57" i="1"/>
  <c r="AX59" i="1" s="1"/>
  <c r="AX60" i="1" s="1"/>
  <c r="AS57" i="1"/>
  <c r="AS59" i="1" s="1"/>
  <c r="AS60" i="1" s="1"/>
  <c r="AR57" i="1"/>
  <c r="AR59" i="1" s="1"/>
  <c r="AR60" i="1" s="1"/>
  <c r="AQ57" i="1"/>
  <c r="AQ59" i="1" s="1"/>
  <c r="AQ60" i="1" s="1"/>
  <c r="AP57" i="1"/>
  <c r="AP59" i="1" s="1"/>
  <c r="AP60" i="1" s="1"/>
  <c r="AO57" i="1"/>
  <c r="AO59" i="1" s="1"/>
  <c r="AO60" i="1" s="1"/>
  <c r="AN57" i="1"/>
  <c r="AN59" i="1" s="1"/>
  <c r="AN60" i="1" s="1"/>
  <c r="AM57" i="1"/>
  <c r="AM59" i="1" s="1"/>
  <c r="AM60" i="1" s="1"/>
  <c r="AL57" i="1"/>
  <c r="AL59" i="1" s="1"/>
  <c r="AL60" i="1" s="1"/>
  <c r="AJ57" i="1"/>
  <c r="AH57" i="1"/>
  <c r="AH59" i="1" s="1"/>
  <c r="AH60" i="1" s="1"/>
  <c r="AF57" i="1"/>
  <c r="AF59" i="1" s="1"/>
  <c r="AF60" i="1" s="1"/>
  <c r="AE57" i="1"/>
  <c r="AE59" i="1" s="1"/>
  <c r="AE60" i="1" s="1"/>
  <c r="J57" i="1"/>
  <c r="CF57" i="1" s="1"/>
  <c r="I57" i="1"/>
  <c r="C57" i="1"/>
  <c r="C59" i="1" s="1"/>
  <c r="C60" i="1" s="1"/>
  <c r="FR56" i="1"/>
  <c r="FK56" i="1"/>
  <c r="FJ56" i="1"/>
  <c r="FD56" i="1"/>
  <c r="FC56" i="1"/>
  <c r="EX56" i="1"/>
  <c r="EW56" i="1"/>
  <c r="EQ56" i="1"/>
  <c r="EK56" i="1"/>
  <c r="EE56" i="1"/>
  <c r="DZ56" i="1"/>
  <c r="DU56" i="1"/>
  <c r="DT56" i="1"/>
  <c r="DS56" i="1"/>
  <c r="DR56" i="1"/>
  <c r="DP56" i="1"/>
  <c r="DO56" i="1"/>
  <c r="DF56" i="1"/>
  <c r="DE56" i="1"/>
  <c r="DB56" i="1"/>
  <c r="DC56" i="1" s="1"/>
  <c r="DA56" i="1"/>
  <c r="CT56" i="1"/>
  <c r="CR56" i="1"/>
  <c r="CQ56" i="1"/>
  <c r="CP56" i="1"/>
  <c r="CO56" i="1"/>
  <c r="CM56" i="1"/>
  <c r="CF56" i="1"/>
  <c r="BT56" i="1"/>
  <c r="BN56" i="1"/>
  <c r="BI56" i="1"/>
  <c r="AZ56" i="1"/>
  <c r="AY56" i="1"/>
  <c r="AV57" i="1"/>
  <c r="AV59" i="1" s="1"/>
  <c r="AV60" i="1" s="1"/>
  <c r="AU57" i="1"/>
  <c r="AU59" i="1" s="1"/>
  <c r="AU60" i="1" s="1"/>
  <c r="AT57" i="1"/>
  <c r="AT59" i="1" s="1"/>
  <c r="AT60" i="1" s="1"/>
  <c r="AK56" i="1"/>
  <c r="I56" i="1"/>
  <c r="B56" i="1"/>
  <c r="AW10" i="1"/>
  <c r="AW11" i="1"/>
  <c r="AW251" i="1"/>
  <c r="AW61" i="1"/>
  <c r="AW37" i="1"/>
  <c r="AV266" i="1"/>
  <c r="AU266" i="1"/>
  <c r="AU267" i="1" s="1"/>
  <c r="AU268" i="1" s="1"/>
  <c r="AU269" i="1" s="1"/>
  <c r="AU270" i="1" s="1"/>
  <c r="AU271" i="1" s="1"/>
  <c r="AV263" i="1"/>
  <c r="AU263" i="1"/>
  <c r="AU264" i="1" s="1"/>
  <c r="AU265" i="1" s="1"/>
  <c r="AV260" i="1"/>
  <c r="AV261" i="1" s="1"/>
  <c r="AV262" i="1" s="1"/>
  <c r="AU260" i="1"/>
  <c r="AU261" i="1" s="1"/>
  <c r="AU262" i="1" s="1"/>
  <c r="AV256" i="1"/>
  <c r="AV257" i="1" s="1"/>
  <c r="AV258" i="1" s="1"/>
  <c r="AV259" i="1" s="1"/>
  <c r="AU256" i="1"/>
  <c r="AU257" i="1" s="1"/>
  <c r="AU258" i="1" s="1"/>
  <c r="AU259" i="1" s="1"/>
  <c r="AV253" i="1"/>
  <c r="AU253" i="1"/>
  <c r="AU254" i="1" s="1"/>
  <c r="AU255" i="1" s="1"/>
  <c r="AV249" i="1"/>
  <c r="AU249" i="1"/>
  <c r="AV246" i="1"/>
  <c r="AV247" i="1" s="1"/>
  <c r="AV248" i="1" s="1"/>
  <c r="AU246" i="1"/>
  <c r="AU247" i="1" s="1"/>
  <c r="AU248" i="1" s="1"/>
  <c r="AV243" i="1"/>
  <c r="AV244" i="1" s="1"/>
  <c r="AV245" i="1" s="1"/>
  <c r="AU243" i="1"/>
  <c r="AU244" i="1" s="1"/>
  <c r="AU245" i="1" s="1"/>
  <c r="AV241" i="1"/>
  <c r="AV242" i="1" s="1"/>
  <c r="AU241" i="1"/>
  <c r="AU242" i="1" s="1"/>
  <c r="AV238" i="1"/>
  <c r="AV239" i="1" s="1"/>
  <c r="AV240" i="1" s="1"/>
  <c r="AU238" i="1"/>
  <c r="AU239" i="1" s="1"/>
  <c r="AU240" i="1" s="1"/>
  <c r="AV231" i="1"/>
  <c r="AV232" i="1" s="1"/>
  <c r="AV233" i="1" s="1"/>
  <c r="AV234" i="1" s="1"/>
  <c r="AV235" i="1" s="1"/>
  <c r="AU231" i="1"/>
  <c r="AU232" i="1" s="1"/>
  <c r="AU233" i="1" s="1"/>
  <c r="AU234" i="1" s="1"/>
  <c r="AU235" i="1" s="1"/>
  <c r="AV223" i="1"/>
  <c r="AU223" i="1"/>
  <c r="AV219" i="1"/>
  <c r="AV220" i="1" s="1"/>
  <c r="AV221" i="1" s="1"/>
  <c r="AV222" i="1" s="1"/>
  <c r="AU219" i="1"/>
  <c r="AU220" i="1" s="1"/>
  <c r="AU221" i="1" s="1"/>
  <c r="AU222" i="1" s="1"/>
  <c r="AV212" i="1"/>
  <c r="AU212" i="1"/>
  <c r="AU213" i="1" s="1"/>
  <c r="AU214" i="1" s="1"/>
  <c r="AU215" i="1" s="1"/>
  <c r="AU216" i="1" s="1"/>
  <c r="AU217" i="1" s="1"/>
  <c r="AU218" i="1" s="1"/>
  <c r="AV209" i="1"/>
  <c r="AV210" i="1" s="1"/>
  <c r="AV211" i="1" s="1"/>
  <c r="AU209" i="1"/>
  <c r="AU210" i="1" s="1"/>
  <c r="AU211" i="1" s="1"/>
  <c r="AV205" i="1"/>
  <c r="AV206" i="1" s="1"/>
  <c r="AV207" i="1" s="1"/>
  <c r="AV208" i="1" s="1"/>
  <c r="AU205" i="1"/>
  <c r="AU206" i="1" s="1"/>
  <c r="AU207" i="1" s="1"/>
  <c r="AU208" i="1" s="1"/>
  <c r="AV198" i="1"/>
  <c r="AU198" i="1"/>
  <c r="AU199" i="1" s="1"/>
  <c r="AU200" i="1" s="1"/>
  <c r="AU201" i="1" s="1"/>
  <c r="AU202" i="1" s="1"/>
  <c r="AV186" i="1"/>
  <c r="AU186" i="1"/>
  <c r="AU187" i="1" s="1"/>
  <c r="AU188" i="1" s="1"/>
  <c r="AU189" i="1" s="1"/>
  <c r="AU190" i="1" s="1"/>
  <c r="AU191" i="1" s="1"/>
  <c r="AU192" i="1" s="1"/>
  <c r="AV180" i="1"/>
  <c r="AV181" i="1" s="1"/>
  <c r="AV182" i="1" s="1"/>
  <c r="AV183" i="1" s="1"/>
  <c r="AV184" i="1" s="1"/>
  <c r="AV185" i="1" s="1"/>
  <c r="AU180" i="1"/>
  <c r="AU181" i="1" s="1"/>
  <c r="AU182" i="1" s="1"/>
  <c r="AU183" i="1" s="1"/>
  <c r="AU184" i="1" s="1"/>
  <c r="AU185" i="1" s="1"/>
  <c r="AV173" i="1"/>
  <c r="AU173" i="1"/>
  <c r="AU174" i="1" s="1"/>
  <c r="AU175" i="1" s="1"/>
  <c r="AU176" i="1" s="1"/>
  <c r="AU177" i="1" s="1"/>
  <c r="AU178" i="1" s="1"/>
  <c r="AU179" i="1" s="1"/>
  <c r="AV169" i="1"/>
  <c r="AV170" i="1" s="1"/>
  <c r="AV171" i="1" s="1"/>
  <c r="AV172" i="1" s="1"/>
  <c r="AU169" i="1"/>
  <c r="AU170" i="1" s="1"/>
  <c r="AU171" i="1" s="1"/>
  <c r="AU172" i="1" s="1"/>
  <c r="AV164" i="1"/>
  <c r="AV165" i="1" s="1"/>
  <c r="AV166" i="1" s="1"/>
  <c r="AV167" i="1" s="1"/>
  <c r="AV168" i="1" s="1"/>
  <c r="AU164" i="1"/>
  <c r="AU165" i="1" s="1"/>
  <c r="AU166" i="1" s="1"/>
  <c r="AU167" i="1" s="1"/>
  <c r="AU168" i="1" s="1"/>
  <c r="AV163" i="1"/>
  <c r="AU163" i="1"/>
  <c r="AV154" i="1"/>
  <c r="AU154" i="1"/>
  <c r="AU155" i="1" s="1"/>
  <c r="AU156" i="1" s="1"/>
  <c r="AU157" i="1" s="1"/>
  <c r="AU158" i="1" s="1"/>
  <c r="AU159" i="1" s="1"/>
  <c r="AU160" i="1" s="1"/>
  <c r="AU161" i="1" s="1"/>
  <c r="AU162" i="1" s="1"/>
  <c r="AV153" i="1"/>
  <c r="AU153" i="1"/>
  <c r="AV145" i="1"/>
  <c r="AV146" i="1" s="1"/>
  <c r="AV147" i="1" s="1"/>
  <c r="AV148" i="1" s="1"/>
  <c r="AV149" i="1" s="1"/>
  <c r="AV150" i="1" s="1"/>
  <c r="AV151" i="1" s="1"/>
  <c r="AV152" i="1" s="1"/>
  <c r="AU145" i="1"/>
  <c r="AU146" i="1" s="1"/>
  <c r="AU147" i="1" s="1"/>
  <c r="AU148" i="1" s="1"/>
  <c r="AU149" i="1" s="1"/>
  <c r="AU150" i="1" s="1"/>
  <c r="AU151" i="1" s="1"/>
  <c r="AU152" i="1" s="1"/>
  <c r="AV141" i="1"/>
  <c r="AV142" i="1" s="1"/>
  <c r="AV143" i="1" s="1"/>
  <c r="AV144" i="1" s="1"/>
  <c r="AU141" i="1"/>
  <c r="AU142" i="1" s="1"/>
  <c r="AU143" i="1" s="1"/>
  <c r="AU144" i="1" s="1"/>
  <c r="AV135" i="1"/>
  <c r="AV136" i="1" s="1"/>
  <c r="AV137" i="1" s="1"/>
  <c r="AV138" i="1" s="1"/>
  <c r="AV139" i="1" s="1"/>
  <c r="AV140" i="1" s="1"/>
  <c r="AU135" i="1"/>
  <c r="AU136" i="1" s="1"/>
  <c r="AU137" i="1" s="1"/>
  <c r="AU138" i="1" s="1"/>
  <c r="AU139" i="1" s="1"/>
  <c r="AU140" i="1" s="1"/>
  <c r="AV131" i="1"/>
  <c r="AU131" i="1"/>
  <c r="AU132" i="1" s="1"/>
  <c r="AU133" i="1" s="1"/>
  <c r="AU134" i="1" s="1"/>
  <c r="AV127" i="1"/>
  <c r="AV128" i="1" s="1"/>
  <c r="AV129" i="1" s="1"/>
  <c r="AV130" i="1" s="1"/>
  <c r="AU127" i="1"/>
  <c r="AU128" i="1" s="1"/>
  <c r="AU129" i="1" s="1"/>
  <c r="AU130" i="1" s="1"/>
  <c r="AV123" i="1"/>
  <c r="AU123" i="1"/>
  <c r="AU124" i="1" s="1"/>
  <c r="AU125" i="1" s="1"/>
  <c r="AU126" i="1" s="1"/>
  <c r="AV119" i="1"/>
  <c r="AU119" i="1"/>
  <c r="AU120" i="1" s="1"/>
  <c r="AU121" i="1" s="1"/>
  <c r="AU122" i="1" s="1"/>
  <c r="AV113" i="1"/>
  <c r="AV114" i="1" s="1"/>
  <c r="AU113" i="1"/>
  <c r="AU114" i="1" s="1"/>
  <c r="AV108" i="1"/>
  <c r="AV109" i="1" s="1"/>
  <c r="AV110" i="1" s="1"/>
  <c r="AV111" i="1" s="1"/>
  <c r="AU108" i="1"/>
  <c r="AU109" i="1" s="1"/>
  <c r="AU110" i="1" s="1"/>
  <c r="AU111" i="1" s="1"/>
  <c r="AV103" i="1"/>
  <c r="AV104" i="1" s="1"/>
  <c r="AV105" i="1" s="1"/>
  <c r="AV106" i="1" s="1"/>
  <c r="AV107" i="1" s="1"/>
  <c r="AU103" i="1"/>
  <c r="AV97" i="1"/>
  <c r="AU97" i="1"/>
  <c r="AU98" i="1" s="1"/>
  <c r="AU99" i="1" s="1"/>
  <c r="AU100" i="1" s="1"/>
  <c r="AU101" i="1" s="1"/>
  <c r="AU102" i="1" s="1"/>
  <c r="AV228" i="1"/>
  <c r="AU228" i="1"/>
  <c r="AU229" i="1" s="1"/>
  <c r="AU230" i="1" s="1"/>
  <c r="AV93" i="1"/>
  <c r="AU93" i="1"/>
  <c r="AU94" i="1" s="1"/>
  <c r="AU95" i="1" s="1"/>
  <c r="AV90" i="1"/>
  <c r="AV91" i="1" s="1"/>
  <c r="AV92" i="1" s="1"/>
  <c r="AU90" i="1"/>
  <c r="AU91" i="1" s="1"/>
  <c r="AU92" i="1" s="1"/>
  <c r="AV87" i="1"/>
  <c r="AV88" i="1" s="1"/>
  <c r="AV89" i="1" s="1"/>
  <c r="AU87" i="1"/>
  <c r="AU88" i="1" s="1"/>
  <c r="AU89" i="1" s="1"/>
  <c r="AV77" i="1"/>
  <c r="AU77" i="1"/>
  <c r="AU78" i="1" s="1"/>
  <c r="AV73" i="1"/>
  <c r="AV74" i="1" s="1"/>
  <c r="AU73" i="1"/>
  <c r="AU74" i="1" s="1"/>
  <c r="AV69" i="1"/>
  <c r="AW69" i="1" s="1"/>
  <c r="AU69" i="1"/>
  <c r="AU70" i="1" s="1"/>
  <c r="AU71" i="1" s="1"/>
  <c r="AV66" i="1"/>
  <c r="AV67" i="1" s="1"/>
  <c r="AV68" i="1" s="1"/>
  <c r="AU66" i="1"/>
  <c r="AW66" i="1" s="1"/>
  <c r="AV193" i="1"/>
  <c r="AV194" i="1" s="1"/>
  <c r="AV195" i="1" s="1"/>
  <c r="AV196" i="1" s="1"/>
  <c r="AV197" i="1" s="1"/>
  <c r="AU193" i="1"/>
  <c r="AU194" i="1" s="1"/>
  <c r="AU195" i="1" s="1"/>
  <c r="AU196" i="1" s="1"/>
  <c r="AU197" i="1" s="1"/>
  <c r="AV62" i="1"/>
  <c r="AV63" i="1" s="1"/>
  <c r="AV64" i="1" s="1"/>
  <c r="AV47" i="1"/>
  <c r="AV48" i="1" s="1"/>
  <c r="AV49" i="1" s="1"/>
  <c r="AV50" i="1" s="1"/>
  <c r="AV51" i="1" s="1"/>
  <c r="AV52" i="1" s="1"/>
  <c r="AV53" i="1" s="1"/>
  <c r="AV54" i="1" s="1"/>
  <c r="AV55" i="1" s="1"/>
  <c r="AU47" i="1"/>
  <c r="AU48" i="1" s="1"/>
  <c r="AU49" i="1" s="1"/>
  <c r="AU50" i="1" s="1"/>
  <c r="AU51" i="1" s="1"/>
  <c r="AU52" i="1" s="1"/>
  <c r="AU53" i="1" s="1"/>
  <c r="AU54" i="1" s="1"/>
  <c r="AU55" i="1" s="1"/>
  <c r="AU38" i="1"/>
  <c r="AU39" i="1" s="1"/>
  <c r="AU40" i="1" s="1"/>
  <c r="AU32" i="1"/>
  <c r="AU33" i="1" s="1"/>
  <c r="AU34" i="1" s="1"/>
  <c r="AU35" i="1" s="1"/>
  <c r="AU36" i="1" s="1"/>
  <c r="AV79" i="1"/>
  <c r="AV80" i="1" s="1"/>
  <c r="AV81" i="1" s="1"/>
  <c r="AV82" i="1" s="1"/>
  <c r="AV83" i="1" s="1"/>
  <c r="AU79" i="1"/>
  <c r="AU80" i="1" s="1"/>
  <c r="AU81" i="1" s="1"/>
  <c r="AU82" i="1" s="1"/>
  <c r="AU83" i="1" s="1"/>
  <c r="AV27" i="1"/>
  <c r="AV28" i="1" s="1"/>
  <c r="AV29" i="1" s="1"/>
  <c r="AV30" i="1" s="1"/>
  <c r="AU27" i="1"/>
  <c r="AU28" i="1" s="1"/>
  <c r="AU29" i="1" s="1"/>
  <c r="AU30" i="1" s="1"/>
  <c r="AV24" i="1"/>
  <c r="AV25" i="1" s="1"/>
  <c r="AV26" i="1" s="1"/>
  <c r="AU24" i="1"/>
  <c r="AU25" i="1" s="1"/>
  <c r="AU26" i="1" s="1"/>
  <c r="AU19" i="1"/>
  <c r="AW19" i="1" s="1"/>
  <c r="AV15" i="1"/>
  <c r="AV16" i="1" s="1"/>
  <c r="AV17" i="1" s="1"/>
  <c r="AV18" i="1" s="1"/>
  <c r="AU15" i="1"/>
  <c r="AU16" i="1" s="1"/>
  <c r="AU17" i="1" s="1"/>
  <c r="AU18" i="1" s="1"/>
  <c r="AV115" i="1"/>
  <c r="AV116" i="1" s="1"/>
  <c r="AV117" i="1" s="1"/>
  <c r="AV118" i="1" s="1"/>
  <c r="AU115" i="1"/>
  <c r="AU116" i="1" s="1"/>
  <c r="AU117" i="1" s="1"/>
  <c r="AU118" i="1" s="1"/>
  <c r="AV12" i="1"/>
  <c r="AV13" i="1" s="1"/>
  <c r="AV14" i="1" s="1"/>
  <c r="AU12" i="1"/>
  <c r="AU13" i="1" s="1"/>
  <c r="AU14" i="1" s="1"/>
  <c r="AU252" i="1"/>
  <c r="AU250" i="1"/>
  <c r="AU224" i="1"/>
  <c r="AU225" i="1" s="1"/>
  <c r="AU226" i="1" s="1"/>
  <c r="AU227" i="1" s="1"/>
  <c r="AU62" i="1"/>
  <c r="AU63" i="1" s="1"/>
  <c r="AU64" i="1" s="1"/>
  <c r="AU42" i="1"/>
  <c r="AU43" i="1" s="1"/>
  <c r="AU44" i="1" s="1"/>
  <c r="AU45" i="1" s="1"/>
  <c r="AU46" i="1" s="1"/>
  <c r="AV267" i="1"/>
  <c r="AV268" i="1" s="1"/>
  <c r="AV269" i="1" s="1"/>
  <c r="AV270" i="1" s="1"/>
  <c r="AV271" i="1" s="1"/>
  <c r="AV264" i="1"/>
  <c r="AV265" i="1" s="1"/>
  <c r="AV252" i="1"/>
  <c r="AV250" i="1"/>
  <c r="AV224" i="1"/>
  <c r="AV225" i="1" s="1"/>
  <c r="AV226" i="1" s="1"/>
  <c r="AV227" i="1" s="1"/>
  <c r="AV213" i="1"/>
  <c r="AV214" i="1" s="1"/>
  <c r="AV215" i="1" s="1"/>
  <c r="AV216" i="1" s="1"/>
  <c r="AV217" i="1" s="1"/>
  <c r="AV218" i="1" s="1"/>
  <c r="AV187" i="1"/>
  <c r="AV188" i="1" s="1"/>
  <c r="AV189" i="1" s="1"/>
  <c r="AV190" i="1" s="1"/>
  <c r="AV191" i="1" s="1"/>
  <c r="AV192" i="1" s="1"/>
  <c r="AV174" i="1"/>
  <c r="AV175" i="1" s="1"/>
  <c r="AV176" i="1" s="1"/>
  <c r="AV177" i="1" s="1"/>
  <c r="AV178" i="1" s="1"/>
  <c r="AV179" i="1" s="1"/>
  <c r="AV120" i="1"/>
  <c r="AV121" i="1" s="1"/>
  <c r="AV122" i="1" s="1"/>
  <c r="AV98" i="1"/>
  <c r="AV99" i="1" s="1"/>
  <c r="AV100" i="1" s="1"/>
  <c r="AV101" i="1" s="1"/>
  <c r="AV102" i="1" s="1"/>
  <c r="AV94" i="1"/>
  <c r="AV95" i="1" s="1"/>
  <c r="AV42" i="1"/>
  <c r="AV43" i="1" s="1"/>
  <c r="AV44" i="1" s="1"/>
  <c r="AV45" i="1" s="1"/>
  <c r="AV46" i="1" s="1"/>
  <c r="AV38" i="1"/>
  <c r="AV39" i="1" s="1"/>
  <c r="AV40" i="1" s="1"/>
  <c r="AV20" i="1"/>
  <c r="AV21" i="1" s="1"/>
  <c r="AV22" i="1" s="1"/>
  <c r="A82" i="4"/>
  <c r="A83" i="1"/>
  <c r="FK83" i="1"/>
  <c r="FD83" i="1"/>
  <c r="EX83" i="1"/>
  <c r="DU83" i="1"/>
  <c r="DS83" i="1"/>
  <c r="DF83" i="1"/>
  <c r="CT83" i="1"/>
  <c r="CR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J83" i="1"/>
  <c r="I83" i="1"/>
  <c r="FK82" i="1"/>
  <c r="FD82" i="1"/>
  <c r="EX82" i="1"/>
  <c r="DU82" i="1"/>
  <c r="DS82" i="1"/>
  <c r="DF82" i="1"/>
  <c r="CT82" i="1"/>
  <c r="CR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J82" i="1"/>
  <c r="I82" i="1"/>
  <c r="FK81" i="1"/>
  <c r="FD81" i="1"/>
  <c r="EX81" i="1"/>
  <c r="DU81" i="1"/>
  <c r="DS81" i="1"/>
  <c r="DF81" i="1"/>
  <c r="CT81" i="1"/>
  <c r="CR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J81" i="1"/>
  <c r="CF81" i="1" s="1"/>
  <c r="I81" i="1"/>
  <c r="FK80" i="1"/>
  <c r="FD80" i="1"/>
  <c r="EX80" i="1"/>
  <c r="DU80" i="1"/>
  <c r="DS80" i="1"/>
  <c r="DF80" i="1"/>
  <c r="CU80" i="1"/>
  <c r="CT80" i="1" s="1"/>
  <c r="CS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H80" i="1"/>
  <c r="BH81" i="1" s="1"/>
  <c r="BH82" i="1" s="1"/>
  <c r="BH83" i="1" s="1"/>
  <c r="BG80" i="1"/>
  <c r="BG81" i="1" s="1"/>
  <c r="BG82" i="1" s="1"/>
  <c r="BG83" i="1" s="1"/>
  <c r="BF80" i="1"/>
  <c r="BI80" i="1" s="1"/>
  <c r="AX80" i="1"/>
  <c r="AX81" i="1" s="1"/>
  <c r="AX82" i="1" s="1"/>
  <c r="AX83" i="1" s="1"/>
  <c r="AS80" i="1"/>
  <c r="AS81" i="1" s="1"/>
  <c r="AS82" i="1" s="1"/>
  <c r="AS83" i="1" s="1"/>
  <c r="AR80" i="1"/>
  <c r="AR81" i="1" s="1"/>
  <c r="AR82" i="1" s="1"/>
  <c r="AR83" i="1" s="1"/>
  <c r="AQ80" i="1"/>
  <c r="AQ81" i="1" s="1"/>
  <c r="AQ82" i="1" s="1"/>
  <c r="AQ83" i="1" s="1"/>
  <c r="AP80" i="1"/>
  <c r="AP81" i="1" s="1"/>
  <c r="AP82" i="1" s="1"/>
  <c r="AP83" i="1" s="1"/>
  <c r="AO80" i="1"/>
  <c r="AO81" i="1" s="1"/>
  <c r="AN80" i="1"/>
  <c r="AN81" i="1" s="1"/>
  <c r="AN82" i="1" s="1"/>
  <c r="AN83" i="1" s="1"/>
  <c r="AM80" i="1"/>
  <c r="AM81" i="1" s="1"/>
  <c r="AL80" i="1"/>
  <c r="AL81" i="1" s="1"/>
  <c r="AL82" i="1" s="1"/>
  <c r="AL83" i="1" s="1"/>
  <c r="AJ80" i="1"/>
  <c r="AJ81" i="1" s="1"/>
  <c r="AJ82" i="1" s="1"/>
  <c r="AH80" i="1"/>
  <c r="AH81" i="1" s="1"/>
  <c r="AH82" i="1" s="1"/>
  <c r="AH83" i="1" s="1"/>
  <c r="AF80" i="1"/>
  <c r="AF81" i="1" s="1"/>
  <c r="AF82" i="1" s="1"/>
  <c r="AF83" i="1" s="1"/>
  <c r="AE80" i="1"/>
  <c r="AE81" i="1" s="1"/>
  <c r="AE82" i="1" s="1"/>
  <c r="AE83" i="1" s="1"/>
  <c r="J80" i="1"/>
  <c r="I80" i="1"/>
  <c r="C80" i="1"/>
  <c r="C81" i="1" s="1"/>
  <c r="C82" i="1" s="1"/>
  <c r="C83" i="1" s="1"/>
  <c r="FR79" i="1"/>
  <c r="FO79" i="1"/>
  <c r="FN79" i="1"/>
  <c r="FM79" i="1"/>
  <c r="FK79" i="1"/>
  <c r="FJ79" i="1"/>
  <c r="FI79" i="1"/>
  <c r="FH79" i="1"/>
  <c r="FG79" i="1"/>
  <c r="FF79" i="1"/>
  <c r="FD79" i="1"/>
  <c r="FC79" i="1"/>
  <c r="FB79" i="1"/>
  <c r="FA79" i="1"/>
  <c r="EZ79" i="1"/>
  <c r="EX79" i="1"/>
  <c r="EW79" i="1"/>
  <c r="EV79" i="1"/>
  <c r="EU79" i="1"/>
  <c r="ET79" i="1"/>
  <c r="EQ79" i="1"/>
  <c r="EP79" i="1"/>
  <c r="EO79" i="1"/>
  <c r="EN79" i="1"/>
  <c r="EM79" i="1"/>
  <c r="EK79" i="1"/>
  <c r="EJ79" i="1"/>
  <c r="EI79" i="1"/>
  <c r="EH79" i="1"/>
  <c r="EG79" i="1"/>
  <c r="EE79" i="1"/>
  <c r="ED79" i="1"/>
  <c r="EC79" i="1"/>
  <c r="EB79" i="1"/>
  <c r="DZ79" i="1"/>
  <c r="DX79" i="1"/>
  <c r="DW79" i="1"/>
  <c r="DV79" i="1"/>
  <c r="DU79" i="1"/>
  <c r="DT79" i="1"/>
  <c r="DS79" i="1"/>
  <c r="DR79" i="1"/>
  <c r="DP79" i="1"/>
  <c r="DO79" i="1"/>
  <c r="DM79" i="1"/>
  <c r="DL79" i="1"/>
  <c r="DK79" i="1"/>
  <c r="DJ79" i="1"/>
  <c r="DI79" i="1"/>
  <c r="DH79" i="1"/>
  <c r="DG79" i="1" s="1"/>
  <c r="DF79" i="1"/>
  <c r="DE79" i="1"/>
  <c r="DB79" i="1"/>
  <c r="DC79" i="1" s="1"/>
  <c r="DA79" i="1"/>
  <c r="CT79" i="1"/>
  <c r="CQ79" i="1"/>
  <c r="CP79" i="1"/>
  <c r="CO79" i="1"/>
  <c r="CM79" i="1"/>
  <c r="CF79" i="1"/>
  <c r="BT79" i="1"/>
  <c r="BN79" i="1"/>
  <c r="BI79" i="1"/>
  <c r="AZ79" i="1"/>
  <c r="AY79" i="1"/>
  <c r="AT79" i="1"/>
  <c r="AT80" i="1" s="1"/>
  <c r="AT81" i="1" s="1"/>
  <c r="AT82" i="1" s="1"/>
  <c r="AT83" i="1" s="1"/>
  <c r="AK79" i="1"/>
  <c r="I79" i="1"/>
  <c r="B79" i="1"/>
  <c r="M121" i="4"/>
  <c r="C12" i="1"/>
  <c r="C13" i="1" s="1"/>
  <c r="C14" i="1" s="1"/>
  <c r="C116" i="1"/>
  <c r="C117" i="1" s="1"/>
  <c r="C118" i="1" s="1"/>
  <c r="B1" i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Y1" i="1" s="1"/>
  <c r="EZ1" i="1" s="1"/>
  <c r="FA1" i="1" s="1"/>
  <c r="FB1" i="1" s="1"/>
  <c r="FC1" i="1" s="1"/>
  <c r="FD1" i="1" s="1"/>
  <c r="FE1" i="1" s="1"/>
  <c r="FF1" i="1" s="1"/>
  <c r="FG1" i="1" s="1"/>
  <c r="FH1" i="1" s="1"/>
  <c r="FI1" i="1" s="1"/>
  <c r="FJ1" i="1" s="1"/>
  <c r="FK1" i="1" s="1"/>
  <c r="FL1" i="1" s="1"/>
  <c r="FM1" i="1" s="1"/>
  <c r="FN1" i="1" s="1"/>
  <c r="FO1" i="1" s="1"/>
  <c r="FP1" i="1" s="1"/>
  <c r="FQ1" i="1" s="1"/>
  <c r="FR1" i="1" s="1"/>
  <c r="FS1" i="1" s="1"/>
  <c r="FT1" i="1" s="1"/>
  <c r="FU1" i="1" s="1"/>
  <c r="FV1" i="1" s="1"/>
  <c r="FW1" i="1" s="1"/>
  <c r="FX1" i="1" s="1"/>
  <c r="FY1" i="1" s="1"/>
  <c r="FZ1" i="1" s="1"/>
  <c r="GA1" i="1" s="1"/>
  <c r="GB1" i="1" s="1"/>
  <c r="GC1" i="1" s="1"/>
  <c r="GD1" i="1" s="1"/>
  <c r="GE1" i="1" s="1"/>
  <c r="GF1" i="1" s="1"/>
  <c r="GG1" i="1" s="1"/>
  <c r="GH1" i="1" s="1"/>
  <c r="GI1" i="1" s="1"/>
  <c r="GJ1" i="1" s="1"/>
  <c r="GK1" i="1" s="1"/>
  <c r="GL1" i="1" s="1"/>
  <c r="GM1" i="1" s="1"/>
  <c r="GN1" i="1" s="1"/>
  <c r="GO1" i="1" s="1"/>
  <c r="GP1" i="1" s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AK10" i="1"/>
  <c r="BI10" i="1"/>
  <c r="CT7" i="1"/>
  <c r="CU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AH67" i="1"/>
  <c r="AH68" i="1" s="1"/>
  <c r="AF67" i="1"/>
  <c r="AF68" i="1" s="1"/>
  <c r="AF267" i="1"/>
  <c r="AF268" i="1" s="1"/>
  <c r="AF269" i="1" s="1"/>
  <c r="AF270" i="1" s="1"/>
  <c r="AF271" i="1" s="1"/>
  <c r="AF264" i="1"/>
  <c r="AF265" i="1" s="1"/>
  <c r="AF261" i="1"/>
  <c r="AF262" i="1" s="1"/>
  <c r="AF257" i="1"/>
  <c r="AF258" i="1" s="1"/>
  <c r="AF259" i="1" s="1"/>
  <c r="AF254" i="1"/>
  <c r="AF255" i="1" s="1"/>
  <c r="AF252" i="1"/>
  <c r="AF250" i="1"/>
  <c r="AF247" i="1"/>
  <c r="AF248" i="1" s="1"/>
  <c r="AF244" i="1"/>
  <c r="AF245" i="1" s="1"/>
  <c r="AF242" i="1"/>
  <c r="AF239" i="1"/>
  <c r="AF240" i="1" s="1"/>
  <c r="AF232" i="1"/>
  <c r="AF233" i="1" s="1"/>
  <c r="AF234" i="1" s="1"/>
  <c r="AF235" i="1" s="1"/>
  <c r="AF224" i="1"/>
  <c r="AF225" i="1" s="1"/>
  <c r="AF226" i="1" s="1"/>
  <c r="AF227" i="1" s="1"/>
  <c r="AF220" i="1"/>
  <c r="AF221" i="1" s="1"/>
  <c r="AF222" i="1" s="1"/>
  <c r="AF213" i="1"/>
  <c r="AF214" i="1" s="1"/>
  <c r="AF215" i="1" s="1"/>
  <c r="AF216" i="1" s="1"/>
  <c r="AF217" i="1" s="1"/>
  <c r="AF218" i="1" s="1"/>
  <c r="AF210" i="1"/>
  <c r="AF211" i="1" s="1"/>
  <c r="AF206" i="1"/>
  <c r="AF207" i="1" s="1"/>
  <c r="AF208" i="1" s="1"/>
  <c r="AF199" i="1"/>
  <c r="AF200" i="1" s="1"/>
  <c r="AF201" i="1" s="1"/>
  <c r="AF202" i="1" s="1"/>
  <c r="AF187" i="1"/>
  <c r="AF188" i="1" s="1"/>
  <c r="AF189" i="1" s="1"/>
  <c r="AF190" i="1" s="1"/>
  <c r="AF191" i="1" s="1"/>
  <c r="AF192" i="1" s="1"/>
  <c r="AF181" i="1"/>
  <c r="AF182" i="1" s="1"/>
  <c r="AF183" i="1" s="1"/>
  <c r="AF184" i="1" s="1"/>
  <c r="AF185" i="1" s="1"/>
  <c r="AF174" i="1"/>
  <c r="AF175" i="1" s="1"/>
  <c r="AF176" i="1" s="1"/>
  <c r="AF177" i="1" s="1"/>
  <c r="AF178" i="1" s="1"/>
  <c r="AF179" i="1" s="1"/>
  <c r="AF170" i="1"/>
  <c r="AF171" i="1" s="1"/>
  <c r="AF172" i="1" s="1"/>
  <c r="AF165" i="1"/>
  <c r="AF166" i="1" s="1"/>
  <c r="AF167" i="1" s="1"/>
  <c r="AF168" i="1" s="1"/>
  <c r="AF155" i="1"/>
  <c r="AF156" i="1" s="1"/>
  <c r="AF157" i="1" s="1"/>
  <c r="AF158" i="1" s="1"/>
  <c r="AF159" i="1" s="1"/>
  <c r="AF160" i="1" s="1"/>
  <c r="AF161" i="1" s="1"/>
  <c r="AF162" i="1" s="1"/>
  <c r="AF146" i="1"/>
  <c r="AF147" i="1" s="1"/>
  <c r="AF148" i="1" s="1"/>
  <c r="AF149" i="1" s="1"/>
  <c r="AF150" i="1" s="1"/>
  <c r="AF151" i="1" s="1"/>
  <c r="AF152" i="1" s="1"/>
  <c r="AF136" i="1"/>
  <c r="AF137" i="1" s="1"/>
  <c r="AF138" i="1" s="1"/>
  <c r="AF139" i="1" s="1"/>
  <c r="AF140" i="1" s="1"/>
  <c r="AF132" i="1"/>
  <c r="AF133" i="1" s="1"/>
  <c r="AF134" i="1" s="1"/>
  <c r="AF128" i="1"/>
  <c r="AF129" i="1" s="1"/>
  <c r="AF130" i="1" s="1"/>
  <c r="AF124" i="1"/>
  <c r="AF125" i="1" s="1"/>
  <c r="AF126" i="1" s="1"/>
  <c r="AF120" i="1"/>
  <c r="AF121" i="1" s="1"/>
  <c r="AF122" i="1" s="1"/>
  <c r="AF113" i="1"/>
  <c r="AF114" i="1" s="1"/>
  <c r="AF109" i="1"/>
  <c r="AF110" i="1" s="1"/>
  <c r="AF111" i="1" s="1"/>
  <c r="AF104" i="1"/>
  <c r="AF105" i="1" s="1"/>
  <c r="AF106" i="1" s="1"/>
  <c r="AF107" i="1" s="1"/>
  <c r="AF98" i="1"/>
  <c r="AF99" i="1" s="1"/>
  <c r="AF100" i="1" s="1"/>
  <c r="AF101" i="1" s="1"/>
  <c r="AF102" i="1" s="1"/>
  <c r="AF229" i="1"/>
  <c r="AF230" i="1" s="1"/>
  <c r="AF94" i="1"/>
  <c r="AF95" i="1" s="1"/>
  <c r="AF91" i="1"/>
  <c r="AF92" i="1" s="1"/>
  <c r="AF88" i="1"/>
  <c r="AF89" i="1" s="1"/>
  <c r="AF78" i="1"/>
  <c r="AF73" i="1"/>
  <c r="AF74" i="1" s="1"/>
  <c r="AF70" i="1"/>
  <c r="AF71" i="1" s="1"/>
  <c r="AF194" i="1"/>
  <c r="AF195" i="1" s="1"/>
  <c r="AF196" i="1" s="1"/>
  <c r="AF197" i="1" s="1"/>
  <c r="AF62" i="1"/>
  <c r="AF63" i="1" s="1"/>
  <c r="AF64" i="1" s="1"/>
  <c r="AF42" i="1"/>
  <c r="AF43" i="1" s="1"/>
  <c r="AF44" i="1" s="1"/>
  <c r="AF45" i="1" s="1"/>
  <c r="AF46" i="1" s="1"/>
  <c r="AF38" i="1"/>
  <c r="AF39" i="1" s="1"/>
  <c r="AF40" i="1" s="1"/>
  <c r="AF32" i="1"/>
  <c r="AF33" i="1" s="1"/>
  <c r="AF34" i="1" s="1"/>
  <c r="AF35" i="1" s="1"/>
  <c r="AF36" i="1" s="1"/>
  <c r="AF28" i="1"/>
  <c r="AF29" i="1" s="1"/>
  <c r="AF30" i="1" s="1"/>
  <c r="AF142" i="1"/>
  <c r="AF143" i="1" s="1"/>
  <c r="AF144" i="1" s="1"/>
  <c r="AF48" i="1"/>
  <c r="AF49" i="1" s="1"/>
  <c r="AF50" i="1" s="1"/>
  <c r="AF51" i="1" s="1"/>
  <c r="AF52" i="1" s="1"/>
  <c r="AF53" i="1" s="1"/>
  <c r="AF54" i="1" s="1"/>
  <c r="AF55" i="1" s="1"/>
  <c r="AF24" i="1"/>
  <c r="AF25" i="1" s="1"/>
  <c r="AF26" i="1" s="1"/>
  <c r="AF20" i="1"/>
  <c r="AF21" i="1" s="1"/>
  <c r="AF22" i="1" s="1"/>
  <c r="AF16" i="1"/>
  <c r="AF17" i="1" s="1"/>
  <c r="AF18" i="1" s="1"/>
  <c r="AF116" i="1"/>
  <c r="AF117" i="1" s="1"/>
  <c r="AF118" i="1" s="1"/>
  <c r="AF12" i="1"/>
  <c r="AF13" i="1" s="1"/>
  <c r="AF14" i="1" s="1"/>
  <c r="P94" i="1"/>
  <c r="P95" i="1" s="1"/>
  <c r="I95" i="1" s="1"/>
  <c r="C94" i="1"/>
  <c r="C95" i="1" s="1"/>
  <c r="AE93" i="1"/>
  <c r="AE94" i="1" s="1"/>
  <c r="AE95" i="1" s="1"/>
  <c r="AB94" i="1"/>
  <c r="CA94" i="1" s="1"/>
  <c r="FR23" i="1"/>
  <c r="AK23" i="1"/>
  <c r="AK19" i="1"/>
  <c r="G89" i="4"/>
  <c r="U53" i="1"/>
  <c r="Q48" i="1"/>
  <c r="Q49" i="1" s="1"/>
  <c r="BO49" i="1" s="1"/>
  <c r="T48" i="1"/>
  <c r="T49" i="1" s="1"/>
  <c r="U48" i="1"/>
  <c r="U49" i="1" s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AM28" i="1"/>
  <c r="AM29" i="1" s="1"/>
  <c r="AM30" i="1" s="1"/>
  <c r="AL28" i="1"/>
  <c r="AL29" i="1" s="1"/>
  <c r="AL30" i="1" s="1"/>
  <c r="AN28" i="1"/>
  <c r="AN29" i="1" s="1"/>
  <c r="AP28" i="1"/>
  <c r="AP29" i="1" s="1"/>
  <c r="AP30" i="1" s="1"/>
  <c r="FK92" i="1"/>
  <c r="FD92" i="1"/>
  <c r="EX92" i="1"/>
  <c r="DU92" i="1"/>
  <c r="DS92" i="1"/>
  <c r="AO28" i="1"/>
  <c r="AO29" i="1" s="1"/>
  <c r="AO30" i="1" s="1"/>
  <c r="DF92" i="1"/>
  <c r="AO91" i="1"/>
  <c r="AO92" i="1" s="1"/>
  <c r="AM91" i="1"/>
  <c r="AN91" i="1"/>
  <c r="AN92" i="1" s="1"/>
  <c r="CT92" i="1"/>
  <c r="CR92" i="1"/>
  <c r="J92" i="1"/>
  <c r="J10" i="1"/>
  <c r="K7" i="1" s="1"/>
  <c r="AP91" i="1"/>
  <c r="AP92" i="1" s="1"/>
  <c r="BF91" i="1"/>
  <c r="BI91" i="1" s="1"/>
  <c r="BH91" i="1"/>
  <c r="BH92" i="1" s="1"/>
  <c r="BG91" i="1"/>
  <c r="BG92" i="1" s="1"/>
  <c r="AX91" i="1"/>
  <c r="AX92" i="1" s="1"/>
  <c r="AT90" i="1"/>
  <c r="AT91" i="1" s="1"/>
  <c r="AT92" i="1" s="1"/>
  <c r="AS91" i="1"/>
  <c r="AS92" i="1" s="1"/>
  <c r="AR91" i="1"/>
  <c r="AR92" i="1" s="1"/>
  <c r="AQ91" i="1"/>
  <c r="AQ92" i="1" s="1"/>
  <c r="AL91" i="1"/>
  <c r="AL92" i="1" s="1"/>
  <c r="AJ91" i="1"/>
  <c r="AJ92" i="1" s="1"/>
  <c r="AK92" i="1" s="1"/>
  <c r="AH91" i="1"/>
  <c r="AH92" i="1" s="1"/>
  <c r="AE91" i="1"/>
  <c r="AE92" i="1" s="1"/>
  <c r="I92" i="1"/>
  <c r="C91" i="1"/>
  <c r="C92" i="1" s="1"/>
  <c r="FK91" i="1"/>
  <c r="FD91" i="1"/>
  <c r="EX91" i="1"/>
  <c r="DU91" i="1"/>
  <c r="DS91" i="1"/>
  <c r="DF91" i="1"/>
  <c r="CS91" i="1"/>
  <c r="CR91" i="1" s="1"/>
  <c r="J91" i="1"/>
  <c r="I91" i="1"/>
  <c r="FR90" i="1"/>
  <c r="FK90" i="1"/>
  <c r="FJ90" i="1"/>
  <c r="FD90" i="1"/>
  <c r="FC90" i="1"/>
  <c r="EX90" i="1"/>
  <c r="EW90" i="1"/>
  <c r="EQ90" i="1"/>
  <c r="EK90" i="1"/>
  <c r="EE90" i="1"/>
  <c r="DZ90" i="1"/>
  <c r="DU90" i="1"/>
  <c r="DT90" i="1"/>
  <c r="DS90" i="1"/>
  <c r="DR90" i="1"/>
  <c r="DP90" i="1"/>
  <c r="DO90" i="1"/>
  <c r="DF90" i="1"/>
  <c r="DE90" i="1"/>
  <c r="DB90" i="1"/>
  <c r="DC90" i="1" s="1"/>
  <c r="DA90" i="1"/>
  <c r="CT90" i="1"/>
  <c r="CR90" i="1"/>
  <c r="CQ90" i="1"/>
  <c r="CP90" i="1"/>
  <c r="CO90" i="1"/>
  <c r="CM90" i="1"/>
  <c r="CF90" i="1"/>
  <c r="BT90" i="1"/>
  <c r="BN90" i="1"/>
  <c r="BI90" i="1"/>
  <c r="BE10" i="1"/>
  <c r="BE7" i="1" s="1"/>
  <c r="BE56" i="1" s="1"/>
  <c r="BD10" i="1"/>
  <c r="BD7" i="1" s="1"/>
  <c r="BD253" i="1" s="1"/>
  <c r="BC10" i="1"/>
  <c r="BC7" i="1" s="1"/>
  <c r="BC66" i="1" s="1"/>
  <c r="BB10" i="1"/>
  <c r="BB7" i="1" s="1"/>
  <c r="BB69" i="1" s="1"/>
  <c r="AT10" i="1"/>
  <c r="BA10" i="1" s="1"/>
  <c r="BA7" i="1" s="1"/>
  <c r="BA56" i="1" s="1"/>
  <c r="AZ90" i="1"/>
  <c r="AY90" i="1"/>
  <c r="AK90" i="1"/>
  <c r="I90" i="1"/>
  <c r="B90" i="1"/>
  <c r="BM95" i="1"/>
  <c r="BO95" i="1"/>
  <c r="BP95" i="1"/>
  <c r="BQ95" i="1"/>
  <c r="BR95" i="1"/>
  <c r="BT95" i="1"/>
  <c r="BU95" i="1"/>
  <c r="BV95" i="1"/>
  <c r="BW95" i="1"/>
  <c r="BX95" i="1"/>
  <c r="BY95" i="1"/>
  <c r="BZ95" i="1"/>
  <c r="CA95" i="1"/>
  <c r="CB95" i="1"/>
  <c r="CC95" i="1"/>
  <c r="AP94" i="1"/>
  <c r="AP95" i="1" s="1"/>
  <c r="AL94" i="1"/>
  <c r="AL95" i="1" s="1"/>
  <c r="AN94" i="1"/>
  <c r="AN95" i="1" s="1"/>
  <c r="AO94" i="1"/>
  <c r="AO95" i="1" s="1"/>
  <c r="AM94" i="1"/>
  <c r="AM95" i="1" s="1"/>
  <c r="BM94" i="1"/>
  <c r="BO94" i="1"/>
  <c r="BP94" i="1"/>
  <c r="BQ94" i="1"/>
  <c r="BR94" i="1"/>
  <c r="BT94" i="1"/>
  <c r="BU94" i="1"/>
  <c r="BV94" i="1"/>
  <c r="BW94" i="1"/>
  <c r="BX94" i="1"/>
  <c r="BY94" i="1"/>
  <c r="BZ94" i="1"/>
  <c r="CB94" i="1"/>
  <c r="CC94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AM32" i="1"/>
  <c r="AM33" i="1" s="1"/>
  <c r="AL32" i="1"/>
  <c r="AL33" i="1" s="1"/>
  <c r="AL34" i="1" s="1"/>
  <c r="AL35" i="1" s="1"/>
  <c r="AL36" i="1" s="1"/>
  <c r="AN32" i="1"/>
  <c r="AN33" i="1" s="1"/>
  <c r="AN34" i="1" s="1"/>
  <c r="AN35" i="1" s="1"/>
  <c r="AN36" i="1" s="1"/>
  <c r="AP32" i="1"/>
  <c r="AP33" i="1" s="1"/>
  <c r="AP34" i="1" s="1"/>
  <c r="FK95" i="1"/>
  <c r="DB10" i="1"/>
  <c r="DC10" i="1" s="1"/>
  <c r="BF94" i="1"/>
  <c r="BF95" i="1" s="1"/>
  <c r="BI95" i="1" s="1"/>
  <c r="FD95" i="1"/>
  <c r="EX95" i="1"/>
  <c r="DU95" i="1"/>
  <c r="DS95" i="1"/>
  <c r="AO32" i="1"/>
  <c r="AO33" i="1" s="1"/>
  <c r="DF95" i="1"/>
  <c r="DA10" i="1"/>
  <c r="DA7" i="1" s="1"/>
  <c r="CT95" i="1"/>
  <c r="CR95" i="1"/>
  <c r="AJ94" i="1"/>
  <c r="AJ95" i="1" s="1"/>
  <c r="AK95" i="1" s="1"/>
  <c r="BH94" i="1"/>
  <c r="BH95" i="1" s="1"/>
  <c r="BG94" i="1"/>
  <c r="BG95" i="1" s="1"/>
  <c r="AX94" i="1"/>
  <c r="AX95" i="1" s="1"/>
  <c r="AT93" i="1"/>
  <c r="AT94" i="1" s="1"/>
  <c r="AT95" i="1" s="1"/>
  <c r="AS94" i="1"/>
  <c r="AS95" i="1" s="1"/>
  <c r="AR94" i="1"/>
  <c r="AR95" i="1" s="1"/>
  <c r="AQ94" i="1"/>
  <c r="AQ95" i="1" s="1"/>
  <c r="AH94" i="1"/>
  <c r="AH95" i="1" s="1"/>
  <c r="FK94" i="1"/>
  <c r="FD94" i="1"/>
  <c r="EX94" i="1"/>
  <c r="DU94" i="1"/>
  <c r="DS94" i="1"/>
  <c r="DF94" i="1"/>
  <c r="CU94" i="1"/>
  <c r="CS94" i="1"/>
  <c r="CR94" i="1" s="1"/>
  <c r="FR93" i="1"/>
  <c r="FK93" i="1"/>
  <c r="FJ93" i="1"/>
  <c r="FD93" i="1"/>
  <c r="FC93" i="1"/>
  <c r="EX93" i="1"/>
  <c r="EW93" i="1"/>
  <c r="EQ93" i="1"/>
  <c r="EK93" i="1"/>
  <c r="EE93" i="1"/>
  <c r="DZ93" i="1"/>
  <c r="DU93" i="1"/>
  <c r="DT93" i="1"/>
  <c r="DS93" i="1"/>
  <c r="DR93" i="1"/>
  <c r="DP93" i="1"/>
  <c r="DO93" i="1"/>
  <c r="DF93" i="1"/>
  <c r="DE93" i="1"/>
  <c r="DB93" i="1"/>
  <c r="DC93" i="1" s="1"/>
  <c r="DA93" i="1"/>
  <c r="CT93" i="1"/>
  <c r="CR93" i="1"/>
  <c r="CQ93" i="1"/>
  <c r="CP93" i="1"/>
  <c r="CO93" i="1"/>
  <c r="CM93" i="1"/>
  <c r="CF93" i="1"/>
  <c r="BT93" i="1"/>
  <c r="BN93" i="1"/>
  <c r="BI93" i="1"/>
  <c r="AZ93" i="1"/>
  <c r="AY93" i="1"/>
  <c r="AK93" i="1"/>
  <c r="I93" i="1"/>
  <c r="B93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AP70" i="1"/>
  <c r="AP71" i="1" s="1"/>
  <c r="AL70" i="1"/>
  <c r="AL71" i="1" s="1"/>
  <c r="AN70" i="1"/>
  <c r="AO70" i="1"/>
  <c r="AO71" i="1" s="1"/>
  <c r="AM70" i="1"/>
  <c r="AM71" i="1" s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FO27" i="1"/>
  <c r="FO69" i="1" s="1"/>
  <c r="FN27" i="1"/>
  <c r="FN69" i="1" s="1"/>
  <c r="FM27" i="1"/>
  <c r="FM69" i="1" s="1"/>
  <c r="FK71" i="1"/>
  <c r="BF70" i="1"/>
  <c r="BF71" i="1" s="1"/>
  <c r="BI71" i="1" s="1"/>
  <c r="FI27" i="1"/>
  <c r="FI69" i="1" s="1"/>
  <c r="FH27" i="1"/>
  <c r="FH69" i="1" s="1"/>
  <c r="FG27" i="1"/>
  <c r="FG69" i="1" s="1"/>
  <c r="FF27" i="1"/>
  <c r="FF69" i="1" s="1"/>
  <c r="FD71" i="1"/>
  <c r="FB27" i="1"/>
  <c r="FB69" i="1" s="1"/>
  <c r="FA27" i="1"/>
  <c r="FA69" i="1" s="1"/>
  <c r="EZ27" i="1"/>
  <c r="EZ69" i="1" s="1"/>
  <c r="EX71" i="1"/>
  <c r="EV27" i="1"/>
  <c r="EV69" i="1" s="1"/>
  <c r="EU27" i="1"/>
  <c r="EU69" i="1" s="1"/>
  <c r="ET27" i="1"/>
  <c r="ET69" i="1" s="1"/>
  <c r="EP27" i="1"/>
  <c r="EP69" i="1" s="1"/>
  <c r="EO27" i="1"/>
  <c r="EO69" i="1" s="1"/>
  <c r="EN27" i="1"/>
  <c r="EN69" i="1" s="1"/>
  <c r="EM27" i="1"/>
  <c r="EM69" i="1" s="1"/>
  <c r="EJ27" i="1"/>
  <c r="EJ69" i="1" s="1"/>
  <c r="EI27" i="1"/>
  <c r="EI69" i="1" s="1"/>
  <c r="EH27" i="1"/>
  <c r="EH69" i="1" s="1"/>
  <c r="EG27" i="1"/>
  <c r="EG69" i="1" s="1"/>
  <c r="ED27" i="1"/>
  <c r="ED69" i="1" s="1"/>
  <c r="EC27" i="1"/>
  <c r="EC69" i="1" s="1"/>
  <c r="EB27" i="1"/>
  <c r="EB69" i="1" s="1"/>
  <c r="DX27" i="1"/>
  <c r="DX69" i="1" s="1"/>
  <c r="DW27" i="1"/>
  <c r="DW69" i="1" s="1"/>
  <c r="DV27" i="1"/>
  <c r="DV69" i="1" s="1"/>
  <c r="DU71" i="1"/>
  <c r="DS71" i="1"/>
  <c r="AE70" i="1"/>
  <c r="AE71" i="1" s="1"/>
  <c r="DM27" i="1"/>
  <c r="DM69" i="1" s="1"/>
  <c r="DL27" i="1"/>
  <c r="DL69" i="1" s="1"/>
  <c r="DK27" i="1"/>
  <c r="DK69" i="1" s="1"/>
  <c r="DJ27" i="1"/>
  <c r="DJ69" i="1" s="1"/>
  <c r="DI27" i="1"/>
  <c r="DI69" i="1" s="1"/>
  <c r="DH27" i="1"/>
  <c r="DF71" i="1"/>
  <c r="CT71" i="1"/>
  <c r="CR71" i="1"/>
  <c r="AJ70" i="1"/>
  <c r="AK70" i="1" s="1"/>
  <c r="J71" i="1"/>
  <c r="CF71" i="1" s="1"/>
  <c r="BH70" i="1"/>
  <c r="BH71" i="1" s="1"/>
  <c r="BG70" i="1"/>
  <c r="BG71" i="1" s="1"/>
  <c r="AX70" i="1"/>
  <c r="AX71" i="1" s="1"/>
  <c r="AT69" i="1"/>
  <c r="AT70" i="1" s="1"/>
  <c r="AT71" i="1" s="1"/>
  <c r="AS70" i="1"/>
  <c r="AS71" i="1" s="1"/>
  <c r="AR70" i="1"/>
  <c r="AR71" i="1" s="1"/>
  <c r="AQ70" i="1"/>
  <c r="AQ71" i="1" s="1"/>
  <c r="AH70" i="1"/>
  <c r="AH71" i="1" s="1"/>
  <c r="I71" i="1"/>
  <c r="C70" i="1"/>
  <c r="C71" i="1" s="1"/>
  <c r="FK70" i="1"/>
  <c r="FD70" i="1"/>
  <c r="EX70" i="1"/>
  <c r="DU70" i="1"/>
  <c r="DS70" i="1"/>
  <c r="DF70" i="1"/>
  <c r="CU70" i="1"/>
  <c r="CT70" i="1" s="1"/>
  <c r="CS70" i="1"/>
  <c r="CR70" i="1" s="1"/>
  <c r="J70" i="1"/>
  <c r="CF70" i="1" s="1"/>
  <c r="I70" i="1"/>
  <c r="FR69" i="1"/>
  <c r="FK69" i="1"/>
  <c r="FJ69" i="1"/>
  <c r="FD69" i="1"/>
  <c r="FC69" i="1"/>
  <c r="EX69" i="1"/>
  <c r="EW69" i="1"/>
  <c r="EQ69" i="1"/>
  <c r="EK69" i="1"/>
  <c r="EE69" i="1"/>
  <c r="DZ69" i="1"/>
  <c r="DU69" i="1"/>
  <c r="DT69" i="1"/>
  <c r="DS69" i="1"/>
  <c r="DR69" i="1"/>
  <c r="DP69" i="1"/>
  <c r="DO69" i="1"/>
  <c r="DF69" i="1"/>
  <c r="DE69" i="1"/>
  <c r="DB69" i="1"/>
  <c r="DC69" i="1" s="1"/>
  <c r="DA69" i="1"/>
  <c r="CT69" i="1"/>
  <c r="CR69" i="1"/>
  <c r="CQ69" i="1"/>
  <c r="CP69" i="1"/>
  <c r="CO69" i="1"/>
  <c r="CM69" i="1"/>
  <c r="CF69" i="1"/>
  <c r="BT69" i="1"/>
  <c r="BN69" i="1"/>
  <c r="BI69" i="1"/>
  <c r="AZ69" i="1"/>
  <c r="AY69" i="1"/>
  <c r="AK69" i="1"/>
  <c r="I69" i="1"/>
  <c r="B69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FK74" i="1"/>
  <c r="FD74" i="1"/>
  <c r="EX74" i="1"/>
  <c r="DU74" i="1"/>
  <c r="DS74" i="1"/>
  <c r="DF74" i="1"/>
  <c r="AO73" i="1"/>
  <c r="AM73" i="1"/>
  <c r="AM74" i="1" s="1"/>
  <c r="AN73" i="1"/>
  <c r="AN74" i="1" s="1"/>
  <c r="CT74" i="1"/>
  <c r="CR74" i="1"/>
  <c r="J74" i="1"/>
  <c r="CF74" i="1" s="1"/>
  <c r="AP73" i="1"/>
  <c r="AP74" i="1" s="1"/>
  <c r="BF73" i="1"/>
  <c r="BI73" i="1" s="1"/>
  <c r="BH73" i="1"/>
  <c r="BH74" i="1" s="1"/>
  <c r="BG73" i="1"/>
  <c r="BG74" i="1" s="1"/>
  <c r="AX73" i="1"/>
  <c r="AX74" i="1" s="1"/>
  <c r="AT72" i="1"/>
  <c r="AT73" i="1" s="1"/>
  <c r="AT74" i="1" s="1"/>
  <c r="AS73" i="1"/>
  <c r="AS74" i="1" s="1"/>
  <c r="AR73" i="1"/>
  <c r="AR74" i="1" s="1"/>
  <c r="AQ73" i="1"/>
  <c r="AQ74" i="1" s="1"/>
  <c r="AL73" i="1"/>
  <c r="AL74" i="1" s="1"/>
  <c r="AJ73" i="1"/>
  <c r="AK73" i="1" s="1"/>
  <c r="AH73" i="1"/>
  <c r="AH74" i="1" s="1"/>
  <c r="AE73" i="1"/>
  <c r="AE74" i="1" s="1"/>
  <c r="I74" i="1"/>
  <c r="C73" i="1"/>
  <c r="C74" i="1" s="1"/>
  <c r="FK73" i="1"/>
  <c r="FD73" i="1"/>
  <c r="EX73" i="1"/>
  <c r="DU73" i="1"/>
  <c r="DS73" i="1"/>
  <c r="DF73" i="1"/>
  <c r="CU73" i="1"/>
  <c r="CT73" i="1" s="1"/>
  <c r="CS73" i="1"/>
  <c r="CR73" i="1" s="1"/>
  <c r="CF73" i="1"/>
  <c r="I73" i="1"/>
  <c r="FR72" i="1"/>
  <c r="FK72" i="1"/>
  <c r="FJ72" i="1"/>
  <c r="FD72" i="1"/>
  <c r="FC72" i="1"/>
  <c r="EX72" i="1"/>
  <c r="EW72" i="1"/>
  <c r="EQ72" i="1"/>
  <c r="EK72" i="1"/>
  <c r="EE72" i="1"/>
  <c r="DZ72" i="1"/>
  <c r="DU72" i="1"/>
  <c r="DT72" i="1"/>
  <c r="DS72" i="1"/>
  <c r="DR72" i="1"/>
  <c r="DP72" i="1"/>
  <c r="DO72" i="1"/>
  <c r="DF72" i="1"/>
  <c r="DE72" i="1"/>
  <c r="DB72" i="1"/>
  <c r="DC72" i="1" s="1"/>
  <c r="DA72" i="1"/>
  <c r="CT72" i="1"/>
  <c r="CR72" i="1"/>
  <c r="CQ72" i="1"/>
  <c r="CP72" i="1"/>
  <c r="CO72" i="1"/>
  <c r="CM72" i="1"/>
  <c r="CF72" i="1"/>
  <c r="BT72" i="1"/>
  <c r="BN72" i="1"/>
  <c r="BI72" i="1"/>
  <c r="AZ72" i="1"/>
  <c r="AY72" i="1"/>
  <c r="AK72" i="1"/>
  <c r="I72" i="1"/>
  <c r="B72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FK89" i="1"/>
  <c r="FD89" i="1"/>
  <c r="EX89" i="1"/>
  <c r="DU89" i="1"/>
  <c r="DS89" i="1"/>
  <c r="DF89" i="1"/>
  <c r="AO88" i="1"/>
  <c r="AO89" i="1" s="1"/>
  <c r="AM88" i="1"/>
  <c r="AM89" i="1" s="1"/>
  <c r="AN88" i="1"/>
  <c r="CT89" i="1"/>
  <c r="CR89" i="1"/>
  <c r="J89" i="1"/>
  <c r="AP88" i="1"/>
  <c r="AP89" i="1" s="1"/>
  <c r="BF88" i="1"/>
  <c r="BI88" i="1" s="1"/>
  <c r="BH88" i="1"/>
  <c r="BH89" i="1" s="1"/>
  <c r="BG88" i="1"/>
  <c r="BG89" i="1" s="1"/>
  <c r="AX88" i="1"/>
  <c r="AX89" i="1" s="1"/>
  <c r="AT87" i="1"/>
  <c r="AT88" i="1" s="1"/>
  <c r="AT89" i="1" s="1"/>
  <c r="AS88" i="1"/>
  <c r="AS89" i="1" s="1"/>
  <c r="AR88" i="1"/>
  <c r="AR89" i="1" s="1"/>
  <c r="AQ88" i="1"/>
  <c r="AQ89" i="1" s="1"/>
  <c r="AL88" i="1"/>
  <c r="AL89" i="1" s="1"/>
  <c r="AJ88" i="1"/>
  <c r="AK88" i="1" s="1"/>
  <c r="AH88" i="1"/>
  <c r="AH89" i="1" s="1"/>
  <c r="AE88" i="1"/>
  <c r="AE89" i="1" s="1"/>
  <c r="I89" i="1"/>
  <c r="C88" i="1"/>
  <c r="C89" i="1" s="1"/>
  <c r="FK88" i="1"/>
  <c r="FD88" i="1"/>
  <c r="EX88" i="1"/>
  <c r="DU88" i="1"/>
  <c r="DS88" i="1"/>
  <c r="DF88" i="1"/>
  <c r="CU88" i="1"/>
  <c r="CR88" i="1"/>
  <c r="J88" i="1"/>
  <c r="CH88" i="1" s="1"/>
  <c r="I88" i="1"/>
  <c r="FR87" i="1"/>
  <c r="FK87" i="1"/>
  <c r="FJ87" i="1"/>
  <c r="FD87" i="1"/>
  <c r="FC87" i="1"/>
  <c r="EX87" i="1"/>
  <c r="EW87" i="1"/>
  <c r="EQ87" i="1"/>
  <c r="EK87" i="1"/>
  <c r="EE87" i="1"/>
  <c r="DZ87" i="1"/>
  <c r="DU87" i="1"/>
  <c r="DT87" i="1"/>
  <c r="DS87" i="1"/>
  <c r="DR87" i="1"/>
  <c r="DP87" i="1"/>
  <c r="DO87" i="1"/>
  <c r="DF87" i="1"/>
  <c r="DE87" i="1"/>
  <c r="DB87" i="1"/>
  <c r="DC87" i="1" s="1"/>
  <c r="DA87" i="1"/>
  <c r="CT87" i="1"/>
  <c r="CR87" i="1"/>
  <c r="CQ87" i="1"/>
  <c r="CP87" i="1"/>
  <c r="CO87" i="1"/>
  <c r="CM87" i="1"/>
  <c r="CF87" i="1"/>
  <c r="BT87" i="1"/>
  <c r="BN87" i="1"/>
  <c r="BI87" i="1"/>
  <c r="AZ87" i="1"/>
  <c r="AY87" i="1"/>
  <c r="AK87" i="1"/>
  <c r="I87" i="1"/>
  <c r="B87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AM34" i="1"/>
  <c r="AM35" i="1" s="1"/>
  <c r="AM36" i="1" s="1"/>
  <c r="FK230" i="1"/>
  <c r="FD230" i="1"/>
  <c r="EX230" i="1"/>
  <c r="DU230" i="1"/>
  <c r="DS230" i="1"/>
  <c r="DF230" i="1"/>
  <c r="AO229" i="1"/>
  <c r="AO230" i="1" s="1"/>
  <c r="AM229" i="1"/>
  <c r="AM230" i="1" s="1"/>
  <c r="AN229" i="1"/>
  <c r="AN230" i="1" s="1"/>
  <c r="CT230" i="1"/>
  <c r="CR230" i="1"/>
  <c r="J230" i="1"/>
  <c r="CF230" i="1" s="1"/>
  <c r="AP229" i="1"/>
  <c r="AP230" i="1" s="1"/>
  <c r="BF229" i="1"/>
  <c r="BI229" i="1" s="1"/>
  <c r="BH229" i="1"/>
  <c r="BH230" i="1" s="1"/>
  <c r="BG229" i="1"/>
  <c r="BG230" i="1" s="1"/>
  <c r="AX229" i="1"/>
  <c r="AX230" i="1" s="1"/>
  <c r="AT228" i="1"/>
  <c r="AT229" i="1" s="1"/>
  <c r="AT230" i="1" s="1"/>
  <c r="AS229" i="1"/>
  <c r="AS230" i="1" s="1"/>
  <c r="AR229" i="1"/>
  <c r="AR230" i="1" s="1"/>
  <c r="AQ229" i="1"/>
  <c r="AQ230" i="1" s="1"/>
  <c r="AL229" i="1"/>
  <c r="AL230" i="1" s="1"/>
  <c r="AJ229" i="1"/>
  <c r="AJ230" i="1" s="1"/>
  <c r="AK230" i="1" s="1"/>
  <c r="AH229" i="1"/>
  <c r="AH230" i="1" s="1"/>
  <c r="AE229" i="1"/>
  <c r="AE230" i="1" s="1"/>
  <c r="I230" i="1"/>
  <c r="C229" i="1"/>
  <c r="C230" i="1" s="1"/>
  <c r="FK229" i="1"/>
  <c r="FD229" i="1"/>
  <c r="EX229" i="1"/>
  <c r="DU229" i="1"/>
  <c r="DS229" i="1"/>
  <c r="DF229" i="1"/>
  <c r="CU229" i="1"/>
  <c r="CT229" i="1" s="1"/>
  <c r="CS229" i="1"/>
  <c r="CR229" i="1" s="1"/>
  <c r="J229" i="1"/>
  <c r="CF229" i="1" s="1"/>
  <c r="I229" i="1"/>
  <c r="FR228" i="1"/>
  <c r="FK228" i="1"/>
  <c r="FJ228" i="1"/>
  <c r="FD228" i="1"/>
  <c r="FC228" i="1"/>
  <c r="EX228" i="1"/>
  <c r="EW228" i="1"/>
  <c r="EQ228" i="1"/>
  <c r="EK228" i="1"/>
  <c r="EE228" i="1"/>
  <c r="DZ228" i="1"/>
  <c r="DU228" i="1"/>
  <c r="DT228" i="1"/>
  <c r="DS228" i="1"/>
  <c r="DR228" i="1"/>
  <c r="DP228" i="1"/>
  <c r="DO228" i="1"/>
  <c r="DF228" i="1"/>
  <c r="DE228" i="1"/>
  <c r="DB228" i="1"/>
  <c r="DC228" i="1" s="1"/>
  <c r="DA228" i="1"/>
  <c r="CT228" i="1"/>
  <c r="CR228" i="1"/>
  <c r="CQ228" i="1"/>
  <c r="CP228" i="1"/>
  <c r="CO228" i="1"/>
  <c r="CM228" i="1"/>
  <c r="CF228" i="1"/>
  <c r="BT228" i="1"/>
  <c r="BN228" i="1"/>
  <c r="BI228" i="1"/>
  <c r="AZ228" i="1"/>
  <c r="AY228" i="1"/>
  <c r="AK228" i="1"/>
  <c r="I228" i="1"/>
  <c r="B228" i="1"/>
  <c r="B77" i="1"/>
  <c r="I77" i="1"/>
  <c r="AK77" i="1"/>
  <c r="AY77" i="1"/>
  <c r="AZ77" i="1"/>
  <c r="BI77" i="1"/>
  <c r="BN77" i="1"/>
  <c r="BT77" i="1"/>
  <c r="CF77" i="1"/>
  <c r="CM77" i="1"/>
  <c r="CO77" i="1"/>
  <c r="CP77" i="1"/>
  <c r="CQ77" i="1"/>
  <c r="CR77" i="1"/>
  <c r="CT77" i="1"/>
  <c r="DA77" i="1"/>
  <c r="DB77" i="1"/>
  <c r="DC77" i="1" s="1"/>
  <c r="DE77" i="1"/>
  <c r="DF77" i="1"/>
  <c r="DH77" i="1"/>
  <c r="DG77" i="1" s="1"/>
  <c r="DI77" i="1"/>
  <c r="DJ77" i="1"/>
  <c r="DK77" i="1"/>
  <c r="DL77" i="1"/>
  <c r="DM77" i="1"/>
  <c r="DO77" i="1"/>
  <c r="DP77" i="1"/>
  <c r="DR77" i="1"/>
  <c r="DS77" i="1"/>
  <c r="DT77" i="1"/>
  <c r="DU77" i="1"/>
  <c r="DV77" i="1"/>
  <c r="DW77" i="1"/>
  <c r="DX77" i="1"/>
  <c r="DZ77" i="1"/>
  <c r="EB77" i="1"/>
  <c r="EC77" i="1"/>
  <c r="ED77" i="1"/>
  <c r="EE77" i="1"/>
  <c r="EG77" i="1"/>
  <c r="EH77" i="1"/>
  <c r="EI77" i="1"/>
  <c r="EJ77" i="1"/>
  <c r="EK77" i="1"/>
  <c r="EM77" i="1"/>
  <c r="EN77" i="1"/>
  <c r="EO77" i="1"/>
  <c r="EP77" i="1"/>
  <c r="EQ77" i="1"/>
  <c r="ET77" i="1"/>
  <c r="EU77" i="1"/>
  <c r="EV77" i="1"/>
  <c r="EW77" i="1"/>
  <c r="EX77" i="1"/>
  <c r="EZ77" i="1"/>
  <c r="FA77" i="1"/>
  <c r="FB77" i="1"/>
  <c r="FC77" i="1"/>
  <c r="FD77" i="1"/>
  <c r="FF77" i="1"/>
  <c r="FG77" i="1"/>
  <c r="FH77" i="1"/>
  <c r="FI77" i="1"/>
  <c r="FJ77" i="1"/>
  <c r="FK77" i="1"/>
  <c r="FM77" i="1"/>
  <c r="FN77" i="1"/>
  <c r="FO77" i="1"/>
  <c r="FR77" i="1"/>
  <c r="C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AE78" i="1"/>
  <c r="AM78" i="1"/>
  <c r="AP78" i="1"/>
  <c r="AL78" i="1"/>
  <c r="AN78" i="1"/>
  <c r="AJ78" i="1"/>
  <c r="AK78" i="1" s="1"/>
  <c r="BF78" i="1"/>
  <c r="BI78" i="1" s="1"/>
  <c r="BJ78" i="1"/>
  <c r="I78" i="1"/>
  <c r="J78" i="1"/>
  <c r="CF78" i="1" s="1"/>
  <c r="AH78" i="1"/>
  <c r="AO78" i="1"/>
  <c r="AQ78" i="1"/>
  <c r="AR78" i="1"/>
  <c r="AS78" i="1"/>
  <c r="AT78" i="1"/>
  <c r="AX78" i="1"/>
  <c r="BG78" i="1"/>
  <c r="BH78" i="1"/>
  <c r="CR78" i="1"/>
  <c r="CU78" i="1"/>
  <c r="CZ78" i="1"/>
  <c r="V96" i="1"/>
  <c r="W96" i="1"/>
  <c r="CM96" i="1"/>
  <c r="CO96" i="1"/>
  <c r="CP96" i="1"/>
  <c r="CQ96" i="1"/>
  <c r="CR96" i="1"/>
  <c r="CT96" i="1"/>
  <c r="CT65" i="1"/>
  <c r="CR65" i="1"/>
  <c r="CQ65" i="1"/>
  <c r="CP65" i="1"/>
  <c r="CO65" i="1"/>
  <c r="CM65" i="1"/>
  <c r="W65" i="1"/>
  <c r="V65" i="1"/>
  <c r="R18" i="1"/>
  <c r="BP18" i="1" s="1"/>
  <c r="AT61" i="1"/>
  <c r="AT62" i="1" s="1"/>
  <c r="AT63" i="1" s="1"/>
  <c r="AT64" i="1" s="1"/>
  <c r="Q62" i="1"/>
  <c r="BO62" i="1" s="1"/>
  <c r="T62" i="1"/>
  <c r="T63" i="1" s="1"/>
  <c r="BR63" i="1" s="1"/>
  <c r="U62" i="1"/>
  <c r="U63" i="1" s="1"/>
  <c r="BT63" i="1" s="1"/>
  <c r="Y62" i="1"/>
  <c r="BX62" i="1" s="1"/>
  <c r="BR61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BM63" i="1"/>
  <c r="BN63" i="1"/>
  <c r="BP63" i="1"/>
  <c r="BQ63" i="1"/>
  <c r="BU63" i="1"/>
  <c r="BV63" i="1"/>
  <c r="BW63" i="1"/>
  <c r="BX63" i="1"/>
  <c r="BY63" i="1"/>
  <c r="BZ63" i="1"/>
  <c r="CA63" i="1"/>
  <c r="CB63" i="1"/>
  <c r="CC63" i="1"/>
  <c r="BM62" i="1"/>
  <c r="BN62" i="1"/>
  <c r="BP62" i="1"/>
  <c r="BQ62" i="1"/>
  <c r="BU62" i="1"/>
  <c r="BV62" i="1"/>
  <c r="BW62" i="1"/>
  <c r="BY62" i="1"/>
  <c r="BZ62" i="1"/>
  <c r="CA62" i="1"/>
  <c r="CB62" i="1"/>
  <c r="CC62" i="1"/>
  <c r="BM46" i="1"/>
  <c r="BN46" i="1"/>
  <c r="BO46" i="1"/>
  <c r="BP46" i="1"/>
  <c r="BQ46" i="1"/>
  <c r="BR46" i="1"/>
  <c r="BS46" i="1"/>
  <c r="BT46" i="1"/>
  <c r="BU46" i="1"/>
  <c r="W41" i="1"/>
  <c r="W46" i="1" s="1"/>
  <c r="BV46" i="1" s="1"/>
  <c r="BW46" i="1"/>
  <c r="BX46" i="1"/>
  <c r="BY46" i="1"/>
  <c r="BZ46" i="1"/>
  <c r="CA46" i="1"/>
  <c r="CB46" i="1"/>
  <c r="CC46" i="1"/>
  <c r="AM42" i="1"/>
  <c r="AM43" i="1" s="1"/>
  <c r="AM44" i="1" s="1"/>
  <c r="AM45" i="1" s="1"/>
  <c r="AM46" i="1" s="1"/>
  <c r="AM62" i="1"/>
  <c r="AM63" i="1" s="1"/>
  <c r="AL42" i="1"/>
  <c r="AL43" i="1" s="1"/>
  <c r="AL44" i="1" s="1"/>
  <c r="AL45" i="1" s="1"/>
  <c r="AL46" i="1" s="1"/>
  <c r="AN42" i="1"/>
  <c r="AN43" i="1" s="1"/>
  <c r="AN44" i="1" s="1"/>
  <c r="AN45" i="1" s="1"/>
  <c r="AN46" i="1" s="1"/>
  <c r="AL62" i="1"/>
  <c r="AL63" i="1" s="1"/>
  <c r="AL64" i="1" s="1"/>
  <c r="AN62" i="1"/>
  <c r="AP42" i="1"/>
  <c r="AP43" i="1" s="1"/>
  <c r="AP44" i="1" s="1"/>
  <c r="AP62" i="1"/>
  <c r="AP63" i="1" s="1"/>
  <c r="AP64" i="1" s="1"/>
  <c r="FK64" i="1"/>
  <c r="FD64" i="1"/>
  <c r="EX64" i="1"/>
  <c r="DU64" i="1"/>
  <c r="DS64" i="1"/>
  <c r="AO42" i="1"/>
  <c r="AO43" i="1" s="1"/>
  <c r="AO44" i="1" s="1"/>
  <c r="AO45" i="1" s="1"/>
  <c r="AO46" i="1" s="1"/>
  <c r="AO62" i="1"/>
  <c r="AO63" i="1" s="1"/>
  <c r="AO64" i="1" s="1"/>
  <c r="DF64" i="1"/>
  <c r="CT64" i="1"/>
  <c r="CR64" i="1"/>
  <c r="J64" i="1"/>
  <c r="CF64" i="1" s="1"/>
  <c r="BF62" i="1"/>
  <c r="BF63" i="1" s="1"/>
  <c r="BG62" i="1"/>
  <c r="BG63" i="1" s="1"/>
  <c r="BG64" i="1" s="1"/>
  <c r="BH62" i="1"/>
  <c r="BH63" i="1" s="1"/>
  <c r="BH64" i="1" s="1"/>
  <c r="AX62" i="1"/>
  <c r="AX63" i="1" s="1"/>
  <c r="AX64" i="1" s="1"/>
  <c r="AS62" i="1"/>
  <c r="AS63" i="1" s="1"/>
  <c r="AS64" i="1" s="1"/>
  <c r="AR62" i="1"/>
  <c r="AR63" i="1" s="1"/>
  <c r="AR64" i="1" s="1"/>
  <c r="AQ62" i="1"/>
  <c r="AQ63" i="1" s="1"/>
  <c r="AQ64" i="1" s="1"/>
  <c r="AJ62" i="1"/>
  <c r="AJ63" i="1" s="1"/>
  <c r="AH62" i="1"/>
  <c r="AH63" i="1" s="1"/>
  <c r="AH64" i="1" s="1"/>
  <c r="AE62" i="1"/>
  <c r="AE63" i="1" s="1"/>
  <c r="AE64" i="1" s="1"/>
  <c r="I64" i="1"/>
  <c r="C62" i="1"/>
  <c r="C63" i="1" s="1"/>
  <c r="C64" i="1" s="1"/>
  <c r="FK63" i="1"/>
  <c r="FD63" i="1"/>
  <c r="EX63" i="1"/>
  <c r="DU63" i="1"/>
  <c r="DS63" i="1"/>
  <c r="DF63" i="1"/>
  <c r="CT63" i="1"/>
  <c r="CR63" i="1"/>
  <c r="FK62" i="1"/>
  <c r="FD62" i="1"/>
  <c r="EX62" i="1"/>
  <c r="DU62" i="1"/>
  <c r="DS62" i="1"/>
  <c r="DF62" i="1"/>
  <c r="CU62" i="1"/>
  <c r="CS62" i="1"/>
  <c r="CR62" i="1" s="1"/>
  <c r="FR61" i="1"/>
  <c r="FK61" i="1"/>
  <c r="FJ61" i="1"/>
  <c r="FD61" i="1"/>
  <c r="FC61" i="1"/>
  <c r="EX61" i="1"/>
  <c r="EW61" i="1"/>
  <c r="EQ61" i="1"/>
  <c r="EK61" i="1"/>
  <c r="EE61" i="1"/>
  <c r="DZ61" i="1"/>
  <c r="DU61" i="1"/>
  <c r="DT61" i="1"/>
  <c r="DS61" i="1"/>
  <c r="DR61" i="1"/>
  <c r="DP61" i="1"/>
  <c r="DO61" i="1"/>
  <c r="DF61" i="1"/>
  <c r="DE61" i="1"/>
  <c r="DB61" i="1"/>
  <c r="DC61" i="1" s="1"/>
  <c r="DA61" i="1"/>
  <c r="CT61" i="1"/>
  <c r="CR61" i="1"/>
  <c r="CQ61" i="1"/>
  <c r="CP61" i="1"/>
  <c r="CO61" i="1"/>
  <c r="CM61" i="1"/>
  <c r="CF61" i="1"/>
  <c r="BT61" i="1"/>
  <c r="BN61" i="1"/>
  <c r="BI61" i="1"/>
  <c r="AZ61" i="1"/>
  <c r="AY61" i="1"/>
  <c r="AK61" i="1"/>
  <c r="I61" i="1"/>
  <c r="B61" i="1"/>
  <c r="T16" i="1"/>
  <c r="T17" i="1" s="1"/>
  <c r="U16" i="1"/>
  <c r="U17" i="1" s="1"/>
  <c r="Q16" i="1"/>
  <c r="Q17" i="1" s="1"/>
  <c r="X16" i="1"/>
  <c r="X17" i="1" s="1"/>
  <c r="Y16" i="1"/>
  <c r="BX16" i="1" s="1"/>
  <c r="X12" i="1"/>
  <c r="X13" i="1" s="1"/>
  <c r="Y12" i="1"/>
  <c r="BX12" i="1" s="1"/>
  <c r="Q12" i="1"/>
  <c r="BO12" i="1" s="1"/>
  <c r="T12" i="1"/>
  <c r="T13" i="1" s="1"/>
  <c r="U12" i="1"/>
  <c r="BT12" i="1" s="1"/>
  <c r="X116" i="1"/>
  <c r="BW116" i="1" s="1"/>
  <c r="T116" i="1"/>
  <c r="T117" i="1" s="1"/>
  <c r="BR117" i="1" s="1"/>
  <c r="U116" i="1"/>
  <c r="U117" i="1" s="1"/>
  <c r="BT117" i="1" s="1"/>
  <c r="Y116" i="1"/>
  <c r="BX116" i="1" s="1"/>
  <c r="Q116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AP116" i="1"/>
  <c r="AP117" i="1" s="1"/>
  <c r="AP118" i="1" s="1"/>
  <c r="AL116" i="1"/>
  <c r="AL117" i="1" s="1"/>
  <c r="AL118" i="1" s="1"/>
  <c r="AN116" i="1"/>
  <c r="AN117" i="1" s="1"/>
  <c r="AN118" i="1" s="1"/>
  <c r="AO116" i="1"/>
  <c r="AO117" i="1" s="1"/>
  <c r="AM116" i="1"/>
  <c r="BM117" i="1"/>
  <c r="BN117" i="1"/>
  <c r="BP117" i="1"/>
  <c r="BQ117" i="1"/>
  <c r="BU117" i="1"/>
  <c r="BV117" i="1"/>
  <c r="BX117" i="1"/>
  <c r="BY117" i="1"/>
  <c r="BZ117" i="1"/>
  <c r="CA117" i="1"/>
  <c r="CB117" i="1"/>
  <c r="CC117" i="1"/>
  <c r="FK118" i="1"/>
  <c r="BF116" i="1"/>
  <c r="BF117" i="1" s="1"/>
  <c r="BF118" i="1" s="1"/>
  <c r="BI118" i="1" s="1"/>
  <c r="FD118" i="1"/>
  <c r="EX118" i="1"/>
  <c r="DU118" i="1"/>
  <c r="DS118" i="1"/>
  <c r="AE116" i="1"/>
  <c r="AE117" i="1" s="1"/>
  <c r="AE118" i="1" s="1"/>
  <c r="DF118" i="1"/>
  <c r="CT118" i="1"/>
  <c r="CR118" i="1"/>
  <c r="AJ116" i="1"/>
  <c r="AK116" i="1" s="1"/>
  <c r="J118" i="1"/>
  <c r="BH116" i="1"/>
  <c r="BH117" i="1" s="1"/>
  <c r="BH118" i="1" s="1"/>
  <c r="BG116" i="1"/>
  <c r="BG117" i="1" s="1"/>
  <c r="BG118" i="1" s="1"/>
  <c r="AX116" i="1"/>
  <c r="AX117" i="1" s="1"/>
  <c r="AX118" i="1" s="1"/>
  <c r="AT116" i="1"/>
  <c r="AT117" i="1" s="1"/>
  <c r="AT118" i="1" s="1"/>
  <c r="AS116" i="1"/>
  <c r="AS117" i="1" s="1"/>
  <c r="AS118" i="1" s="1"/>
  <c r="AR116" i="1"/>
  <c r="AR117" i="1" s="1"/>
  <c r="AR118" i="1" s="1"/>
  <c r="AQ116" i="1"/>
  <c r="AQ117" i="1" s="1"/>
  <c r="AQ118" i="1" s="1"/>
  <c r="AH116" i="1"/>
  <c r="AH117" i="1" s="1"/>
  <c r="AH118" i="1" s="1"/>
  <c r="I118" i="1"/>
  <c r="FK117" i="1"/>
  <c r="FD117" i="1"/>
  <c r="EX117" i="1"/>
  <c r="DU117" i="1"/>
  <c r="DS117" i="1"/>
  <c r="DF117" i="1"/>
  <c r="CT117" i="1"/>
  <c r="CR117" i="1"/>
  <c r="BM116" i="1"/>
  <c r="BN116" i="1"/>
  <c r="BP116" i="1"/>
  <c r="BQ116" i="1"/>
  <c r="BU116" i="1"/>
  <c r="BV116" i="1"/>
  <c r="BY116" i="1"/>
  <c r="BZ116" i="1"/>
  <c r="CA116" i="1"/>
  <c r="CB116" i="1"/>
  <c r="CC116" i="1"/>
  <c r="CU116" i="1"/>
  <c r="CS116" i="1"/>
  <c r="CR7" i="1"/>
  <c r="CR79" i="1" s="1"/>
  <c r="FR115" i="1"/>
  <c r="FO115" i="1"/>
  <c r="FN115" i="1"/>
  <c r="FM115" i="1"/>
  <c r="FK115" i="1"/>
  <c r="FJ115" i="1"/>
  <c r="FI115" i="1"/>
  <c r="FH115" i="1"/>
  <c r="FG115" i="1"/>
  <c r="FF115" i="1"/>
  <c r="FD115" i="1"/>
  <c r="FC115" i="1"/>
  <c r="FB115" i="1"/>
  <c r="FA115" i="1"/>
  <c r="EZ115" i="1"/>
  <c r="EX115" i="1"/>
  <c r="EW115" i="1"/>
  <c r="EV115" i="1"/>
  <c r="EU115" i="1"/>
  <c r="ET115" i="1"/>
  <c r="EQ115" i="1"/>
  <c r="EP115" i="1"/>
  <c r="EO115" i="1"/>
  <c r="EN115" i="1"/>
  <c r="EM115" i="1"/>
  <c r="EK115" i="1"/>
  <c r="EJ115" i="1"/>
  <c r="EI115" i="1"/>
  <c r="EH115" i="1"/>
  <c r="EG115" i="1"/>
  <c r="EE115" i="1"/>
  <c r="ED115" i="1"/>
  <c r="EC115" i="1"/>
  <c r="EB115" i="1"/>
  <c r="DZ115" i="1"/>
  <c r="DX115" i="1"/>
  <c r="DW115" i="1"/>
  <c r="DV115" i="1"/>
  <c r="DU115" i="1"/>
  <c r="DT115" i="1"/>
  <c r="DS115" i="1"/>
  <c r="DR115" i="1"/>
  <c r="DP115" i="1"/>
  <c r="DO115" i="1"/>
  <c r="DM115" i="1"/>
  <c r="DL115" i="1"/>
  <c r="DK115" i="1"/>
  <c r="DJ115" i="1"/>
  <c r="DI115" i="1"/>
  <c r="DH115" i="1"/>
  <c r="DG115" i="1" s="1"/>
  <c r="DF115" i="1"/>
  <c r="DE115" i="1"/>
  <c r="DB115" i="1"/>
  <c r="DC115" i="1" s="1"/>
  <c r="DA115" i="1"/>
  <c r="CT115" i="1"/>
  <c r="CQ115" i="1"/>
  <c r="CP115" i="1"/>
  <c r="CO115" i="1"/>
  <c r="CM115" i="1"/>
  <c r="CF115" i="1"/>
  <c r="BT115" i="1"/>
  <c r="BN115" i="1"/>
  <c r="BI115" i="1"/>
  <c r="AZ115" i="1"/>
  <c r="AY115" i="1"/>
  <c r="AK115" i="1"/>
  <c r="I115" i="1"/>
  <c r="B115" i="1"/>
  <c r="BM12" i="1"/>
  <c r="BN12" i="1"/>
  <c r="BP12" i="1"/>
  <c r="BQ12" i="1"/>
  <c r="BR12" i="1"/>
  <c r="BU12" i="1"/>
  <c r="BV12" i="1"/>
  <c r="BY12" i="1"/>
  <c r="BZ12" i="1"/>
  <c r="CA12" i="1"/>
  <c r="CB12" i="1"/>
  <c r="CC12" i="1"/>
  <c r="AE12" i="1"/>
  <c r="AE13" i="1" s="1"/>
  <c r="AE14" i="1" s="1"/>
  <c r="AM12" i="1"/>
  <c r="AM13" i="1" s="1"/>
  <c r="AM14" i="1" s="1"/>
  <c r="AP12" i="1"/>
  <c r="AP13" i="1" s="1"/>
  <c r="AP14" i="1" s="1"/>
  <c r="AL12" i="1"/>
  <c r="AL13" i="1" s="1"/>
  <c r="AL14" i="1" s="1"/>
  <c r="AN12" i="1"/>
  <c r="AN13" i="1" s="1"/>
  <c r="AJ12" i="1"/>
  <c r="BF12" i="1"/>
  <c r="BF13" i="1" s="1"/>
  <c r="BF14" i="1" s="1"/>
  <c r="BI14" i="1" s="1"/>
  <c r="BM13" i="1"/>
  <c r="BN13" i="1"/>
  <c r="BP13" i="1"/>
  <c r="BQ13" i="1"/>
  <c r="BU13" i="1"/>
  <c r="BV13" i="1"/>
  <c r="BX13" i="1"/>
  <c r="BY13" i="1"/>
  <c r="BZ13" i="1"/>
  <c r="CA13" i="1"/>
  <c r="CB13" i="1"/>
  <c r="CC13" i="1"/>
  <c r="BM14" i="1"/>
  <c r="BN14" i="1"/>
  <c r="BO14" i="1"/>
  <c r="BP14" i="1"/>
  <c r="BQ14" i="1"/>
  <c r="BU14" i="1"/>
  <c r="BV14" i="1"/>
  <c r="BX14" i="1"/>
  <c r="BY14" i="1"/>
  <c r="BZ14" i="1"/>
  <c r="CA14" i="1"/>
  <c r="CB14" i="1"/>
  <c r="CC14" i="1"/>
  <c r="CM97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AE98" i="1"/>
  <c r="AM98" i="1"/>
  <c r="AM99" i="1" s="1"/>
  <c r="AM100" i="1" s="1"/>
  <c r="AM101" i="1" s="1"/>
  <c r="AM102" i="1" s="1"/>
  <c r="AP98" i="1"/>
  <c r="AP99" i="1" s="1"/>
  <c r="AL98" i="1"/>
  <c r="AL99" i="1" s="1"/>
  <c r="AL100" i="1" s="1"/>
  <c r="AL101" i="1" s="1"/>
  <c r="AL102" i="1" s="1"/>
  <c r="AN98" i="1"/>
  <c r="AN99" i="1" s="1"/>
  <c r="AN100" i="1" s="1"/>
  <c r="AN101" i="1" s="1"/>
  <c r="AN102" i="1" s="1"/>
  <c r="AJ98" i="1"/>
  <c r="BF98" i="1"/>
  <c r="BI98" i="1" s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AE99" i="1"/>
  <c r="AE100" i="1" s="1"/>
  <c r="AE101" i="1" s="1"/>
  <c r="AE102" i="1" s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M23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AE24" i="1"/>
  <c r="AE25" i="1" s="1"/>
  <c r="AE26" i="1" s="1"/>
  <c r="AM24" i="1"/>
  <c r="AM25" i="1" s="1"/>
  <c r="AM26" i="1" s="1"/>
  <c r="AP24" i="1"/>
  <c r="AP25" i="1" s="1"/>
  <c r="AP26" i="1" s="1"/>
  <c r="AL24" i="1"/>
  <c r="AL25" i="1" s="1"/>
  <c r="AL26" i="1" s="1"/>
  <c r="AN24" i="1"/>
  <c r="AN25" i="1" s="1"/>
  <c r="AN26" i="1" s="1"/>
  <c r="AJ24" i="1"/>
  <c r="AK24" i="1" s="1"/>
  <c r="BF24" i="1"/>
  <c r="BF25" i="1" s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M47" i="1"/>
  <c r="BM48" i="1"/>
  <c r="BN48" i="1"/>
  <c r="BP48" i="1"/>
  <c r="BQ48" i="1"/>
  <c r="BU48" i="1"/>
  <c r="BV48" i="1"/>
  <c r="BW48" i="1"/>
  <c r="BX48" i="1"/>
  <c r="BY48" i="1"/>
  <c r="BZ48" i="1"/>
  <c r="CA48" i="1"/>
  <c r="CB48" i="1"/>
  <c r="CC48" i="1"/>
  <c r="AE48" i="1"/>
  <c r="AE49" i="1" s="1"/>
  <c r="AE50" i="1" s="1"/>
  <c r="AE51" i="1" s="1"/>
  <c r="AE52" i="1" s="1"/>
  <c r="AE53" i="1" s="1"/>
  <c r="AE54" i="1" s="1"/>
  <c r="AE55" i="1" s="1"/>
  <c r="AM48" i="1"/>
  <c r="AM49" i="1" s="1"/>
  <c r="AM50" i="1" s="1"/>
  <c r="AM51" i="1" s="1"/>
  <c r="AM52" i="1" s="1"/>
  <c r="AM53" i="1" s="1"/>
  <c r="AM54" i="1" s="1"/>
  <c r="AM55" i="1" s="1"/>
  <c r="AP48" i="1"/>
  <c r="AP49" i="1" s="1"/>
  <c r="AP50" i="1" s="1"/>
  <c r="AP51" i="1" s="1"/>
  <c r="AP52" i="1" s="1"/>
  <c r="AP53" i="1" s="1"/>
  <c r="AP54" i="1" s="1"/>
  <c r="AP55" i="1" s="1"/>
  <c r="AL48" i="1"/>
  <c r="AL49" i="1" s="1"/>
  <c r="AL50" i="1" s="1"/>
  <c r="AL51" i="1" s="1"/>
  <c r="AL52" i="1" s="1"/>
  <c r="AL53" i="1" s="1"/>
  <c r="AL54" i="1" s="1"/>
  <c r="AL55" i="1" s="1"/>
  <c r="AN48" i="1"/>
  <c r="AN49" i="1" s="1"/>
  <c r="AN50" i="1" s="1"/>
  <c r="AN51" i="1" s="1"/>
  <c r="AN52" i="1" s="1"/>
  <c r="AN53" i="1" s="1"/>
  <c r="AN54" i="1" s="1"/>
  <c r="AN55" i="1" s="1"/>
  <c r="AJ48" i="1"/>
  <c r="AK48" i="1" s="1"/>
  <c r="BF48" i="1"/>
  <c r="BF49" i="1" s="1"/>
  <c r="BI49" i="1" s="1"/>
  <c r="BM49" i="1"/>
  <c r="BN49" i="1"/>
  <c r="BP49" i="1"/>
  <c r="BQ49" i="1"/>
  <c r="BU49" i="1"/>
  <c r="BV49" i="1"/>
  <c r="BW49" i="1"/>
  <c r="BX49" i="1"/>
  <c r="BY49" i="1"/>
  <c r="BZ49" i="1"/>
  <c r="CA49" i="1"/>
  <c r="CB49" i="1"/>
  <c r="CC49" i="1"/>
  <c r="BM50" i="1"/>
  <c r="BN50" i="1"/>
  <c r="BO50" i="1"/>
  <c r="BP50" i="1"/>
  <c r="BQ50" i="1"/>
  <c r="BU50" i="1"/>
  <c r="BV50" i="1"/>
  <c r="BW50" i="1"/>
  <c r="BX50" i="1"/>
  <c r="BY50" i="1"/>
  <c r="BZ50" i="1"/>
  <c r="CA50" i="1"/>
  <c r="CB50" i="1"/>
  <c r="CC50" i="1"/>
  <c r="BM51" i="1"/>
  <c r="BN51" i="1"/>
  <c r="BO51" i="1"/>
  <c r="BP51" i="1"/>
  <c r="BQ51" i="1"/>
  <c r="BU51" i="1"/>
  <c r="BV51" i="1"/>
  <c r="BW51" i="1"/>
  <c r="BX51" i="1"/>
  <c r="BY51" i="1"/>
  <c r="BZ51" i="1"/>
  <c r="CA51" i="1"/>
  <c r="CB51" i="1"/>
  <c r="CC51" i="1"/>
  <c r="BM52" i="1"/>
  <c r="BN52" i="1"/>
  <c r="BO52" i="1"/>
  <c r="BP52" i="1"/>
  <c r="BQ52" i="1"/>
  <c r="BT52" i="1"/>
  <c r="V47" i="1"/>
  <c r="V52" i="1" s="1"/>
  <c r="BU52" i="1" s="1"/>
  <c r="BV52" i="1"/>
  <c r="BW52" i="1"/>
  <c r="BX52" i="1"/>
  <c r="BY52" i="1"/>
  <c r="BZ52" i="1"/>
  <c r="CA52" i="1"/>
  <c r="CB52" i="1"/>
  <c r="CC52" i="1"/>
  <c r="BM53" i="1"/>
  <c r="BN53" i="1"/>
  <c r="BO53" i="1"/>
  <c r="BP53" i="1"/>
  <c r="BQ53" i="1"/>
  <c r="BT53" i="1"/>
  <c r="BU53" i="1"/>
  <c r="BV53" i="1"/>
  <c r="BW53" i="1"/>
  <c r="BX53" i="1"/>
  <c r="BY53" i="1"/>
  <c r="BZ53" i="1"/>
  <c r="CA53" i="1"/>
  <c r="CB53" i="1"/>
  <c r="CC53" i="1"/>
  <c r="BM54" i="1"/>
  <c r="BN54" i="1"/>
  <c r="BO54" i="1"/>
  <c r="BP54" i="1"/>
  <c r="BQ54" i="1"/>
  <c r="BT54" i="1"/>
  <c r="BV54" i="1"/>
  <c r="BW54" i="1"/>
  <c r="BX54" i="1"/>
  <c r="BY54" i="1"/>
  <c r="BZ54" i="1"/>
  <c r="CA54" i="1"/>
  <c r="CB54" i="1"/>
  <c r="CC54" i="1"/>
  <c r="BM55" i="1"/>
  <c r="BN55" i="1"/>
  <c r="BO55" i="1"/>
  <c r="BP55" i="1"/>
  <c r="BQ55" i="1"/>
  <c r="BT55" i="1"/>
  <c r="BU55" i="1"/>
  <c r="W47" i="1"/>
  <c r="W55" i="1" s="1"/>
  <c r="BW55" i="1"/>
  <c r="BX55" i="1"/>
  <c r="BY55" i="1"/>
  <c r="BZ55" i="1"/>
  <c r="CA55" i="1"/>
  <c r="CB55" i="1"/>
  <c r="CC55" i="1"/>
  <c r="CM103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AE104" i="1"/>
  <c r="AE105" i="1" s="1"/>
  <c r="AE106" i="1" s="1"/>
  <c r="AE107" i="1" s="1"/>
  <c r="AM104" i="1"/>
  <c r="AM105" i="1" s="1"/>
  <c r="AM106" i="1" s="1"/>
  <c r="AM107" i="1" s="1"/>
  <c r="AP104" i="1"/>
  <c r="AP105" i="1" s="1"/>
  <c r="AP106" i="1" s="1"/>
  <c r="AP107" i="1" s="1"/>
  <c r="AL104" i="1"/>
  <c r="AL105" i="1" s="1"/>
  <c r="AL106" i="1" s="1"/>
  <c r="AL107" i="1" s="1"/>
  <c r="AN104" i="1"/>
  <c r="AN105" i="1" s="1"/>
  <c r="AN106" i="1" s="1"/>
  <c r="AN107" i="1" s="1"/>
  <c r="AJ104" i="1"/>
  <c r="AK104" i="1" s="1"/>
  <c r="BF104" i="1"/>
  <c r="BF105" i="1" s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M108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AE109" i="1"/>
  <c r="AM109" i="1"/>
  <c r="AM110" i="1" s="1"/>
  <c r="AM111" i="1" s="1"/>
  <c r="AP109" i="1"/>
  <c r="AP110" i="1" s="1"/>
  <c r="AP111" i="1" s="1"/>
  <c r="AL109" i="1"/>
  <c r="AL110" i="1" s="1"/>
  <c r="AL111" i="1" s="1"/>
  <c r="AN109" i="1"/>
  <c r="AN110" i="1" s="1"/>
  <c r="AN111" i="1" s="1"/>
  <c r="AJ109" i="1"/>
  <c r="BF109" i="1"/>
  <c r="BI109" i="1" s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AE110" i="1"/>
  <c r="AE111" i="1" s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M112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AE113" i="1"/>
  <c r="AM113" i="1"/>
  <c r="AM114" i="1" s="1"/>
  <c r="AP113" i="1"/>
  <c r="AP114" i="1" s="1"/>
  <c r="AL113" i="1"/>
  <c r="AL114" i="1" s="1"/>
  <c r="AN113" i="1"/>
  <c r="AN114" i="1" s="1"/>
  <c r="AJ113" i="1"/>
  <c r="AJ114" i="1" s="1"/>
  <c r="AK114" i="1" s="1"/>
  <c r="BF113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AE114" i="1"/>
  <c r="CM15" i="1"/>
  <c r="BM16" i="1"/>
  <c r="BN16" i="1"/>
  <c r="BP16" i="1"/>
  <c r="BQ16" i="1"/>
  <c r="BU16" i="1"/>
  <c r="BV16" i="1"/>
  <c r="BY16" i="1"/>
  <c r="BZ16" i="1"/>
  <c r="CA16" i="1"/>
  <c r="CB16" i="1"/>
  <c r="CC16" i="1"/>
  <c r="AE16" i="1"/>
  <c r="AE17" i="1" s="1"/>
  <c r="AE18" i="1" s="1"/>
  <c r="AM16" i="1"/>
  <c r="AM17" i="1" s="1"/>
  <c r="AM18" i="1" s="1"/>
  <c r="AP16" i="1"/>
  <c r="AP17" i="1" s="1"/>
  <c r="AL16" i="1"/>
  <c r="AL17" i="1" s="1"/>
  <c r="AL18" i="1" s="1"/>
  <c r="AN16" i="1"/>
  <c r="AN17" i="1" s="1"/>
  <c r="AN18" i="1" s="1"/>
  <c r="AJ16" i="1"/>
  <c r="AJ17" i="1" s="1"/>
  <c r="AJ18" i="1" s="1"/>
  <c r="AK18" i="1" s="1"/>
  <c r="BF16" i="1"/>
  <c r="BF17" i="1" s="1"/>
  <c r="BF18" i="1" s="1"/>
  <c r="BI18" i="1" s="1"/>
  <c r="BM17" i="1"/>
  <c r="BN17" i="1"/>
  <c r="BP17" i="1"/>
  <c r="BQ17" i="1"/>
  <c r="BU17" i="1"/>
  <c r="BV17" i="1"/>
  <c r="BX17" i="1"/>
  <c r="BY17" i="1"/>
  <c r="BZ17" i="1"/>
  <c r="CA17" i="1"/>
  <c r="CB17" i="1"/>
  <c r="CC17" i="1"/>
  <c r="BM18" i="1"/>
  <c r="BN18" i="1"/>
  <c r="BO18" i="1"/>
  <c r="BQ18" i="1"/>
  <c r="BU18" i="1"/>
  <c r="BV18" i="1"/>
  <c r="BX18" i="1"/>
  <c r="BY18" i="1"/>
  <c r="BZ18" i="1"/>
  <c r="CA18" i="1"/>
  <c r="CB18" i="1"/>
  <c r="CC18" i="1"/>
  <c r="CM19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AE20" i="1"/>
  <c r="AE21" i="1" s="1"/>
  <c r="AE22" i="1" s="1"/>
  <c r="AM20" i="1"/>
  <c r="AM21" i="1" s="1"/>
  <c r="AP20" i="1"/>
  <c r="AP21" i="1" s="1"/>
  <c r="AP22" i="1" s="1"/>
  <c r="AL20" i="1"/>
  <c r="AL21" i="1" s="1"/>
  <c r="AL22" i="1" s="1"/>
  <c r="AN20" i="1"/>
  <c r="AN21" i="1" s="1"/>
  <c r="AN22" i="1" s="1"/>
  <c r="AJ20" i="1"/>
  <c r="AK20" i="1" s="1"/>
  <c r="BF20" i="1"/>
  <c r="BI20" i="1" s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M119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AE120" i="1"/>
  <c r="AE121" i="1" s="1"/>
  <c r="AE122" i="1" s="1"/>
  <c r="AM120" i="1"/>
  <c r="AM121" i="1" s="1"/>
  <c r="AM122" i="1" s="1"/>
  <c r="AP120" i="1"/>
  <c r="AP121" i="1" s="1"/>
  <c r="AP122" i="1" s="1"/>
  <c r="AL120" i="1"/>
  <c r="AL121" i="1" s="1"/>
  <c r="AL122" i="1" s="1"/>
  <c r="AN120" i="1"/>
  <c r="AN121" i="1" s="1"/>
  <c r="AN122" i="1" s="1"/>
  <c r="AJ120" i="1"/>
  <c r="AK120" i="1" s="1"/>
  <c r="BF120" i="1"/>
  <c r="BF121" i="1" s="1"/>
  <c r="BF122" i="1" s="1"/>
  <c r="BI122" i="1" s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M123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AE124" i="1"/>
  <c r="AE125" i="1" s="1"/>
  <c r="AE126" i="1" s="1"/>
  <c r="AM124" i="1"/>
  <c r="AM125" i="1" s="1"/>
  <c r="AM126" i="1" s="1"/>
  <c r="AP124" i="1"/>
  <c r="AP125" i="1" s="1"/>
  <c r="AL124" i="1"/>
  <c r="AL125" i="1" s="1"/>
  <c r="AL126" i="1" s="1"/>
  <c r="AN124" i="1"/>
  <c r="AN125" i="1" s="1"/>
  <c r="AJ124" i="1"/>
  <c r="AK124" i="1" s="1"/>
  <c r="BF124" i="1"/>
  <c r="BI124" i="1" s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M127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AE128" i="1"/>
  <c r="AM128" i="1"/>
  <c r="AM129" i="1" s="1"/>
  <c r="AM130" i="1" s="1"/>
  <c r="AP128" i="1"/>
  <c r="AP129" i="1" s="1"/>
  <c r="AL128" i="1"/>
  <c r="AL129" i="1" s="1"/>
  <c r="AL130" i="1" s="1"/>
  <c r="AN128" i="1"/>
  <c r="AN129" i="1" s="1"/>
  <c r="AN130" i="1" s="1"/>
  <c r="AJ128" i="1"/>
  <c r="AK128" i="1" s="1"/>
  <c r="BF128" i="1"/>
  <c r="BI128" i="1" s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AE129" i="1"/>
  <c r="AE130" i="1" s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M131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AE132" i="1"/>
  <c r="AE133" i="1" s="1"/>
  <c r="AE134" i="1" s="1"/>
  <c r="AM132" i="1"/>
  <c r="AM133" i="1" s="1"/>
  <c r="AP132" i="1"/>
  <c r="AP133" i="1" s="1"/>
  <c r="AL132" i="1"/>
  <c r="AL133" i="1" s="1"/>
  <c r="AL134" i="1" s="1"/>
  <c r="AN132" i="1"/>
  <c r="AN133" i="1" s="1"/>
  <c r="AN134" i="1" s="1"/>
  <c r="AJ132" i="1"/>
  <c r="AK132" i="1" s="1"/>
  <c r="BF132" i="1"/>
  <c r="BI132" i="1" s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M135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AE136" i="1"/>
  <c r="AM136" i="1"/>
  <c r="AP136" i="1"/>
  <c r="AL136" i="1"/>
  <c r="AL137" i="1" s="1"/>
  <c r="AL138" i="1" s="1"/>
  <c r="AL139" i="1" s="1"/>
  <c r="AL140" i="1" s="1"/>
  <c r="AN136" i="1"/>
  <c r="AN137" i="1" s="1"/>
  <c r="AN138" i="1" s="1"/>
  <c r="AN139" i="1" s="1"/>
  <c r="AN140" i="1" s="1"/>
  <c r="AJ136" i="1"/>
  <c r="AK136" i="1" s="1"/>
  <c r="BF136" i="1"/>
  <c r="BI136" i="1" s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AE137" i="1"/>
  <c r="AE138" i="1" s="1"/>
  <c r="AE139" i="1" s="1"/>
  <c r="AE140" i="1" s="1"/>
  <c r="AM137" i="1"/>
  <c r="AM138" i="1" s="1"/>
  <c r="AM139" i="1" s="1"/>
  <c r="AM140" i="1" s="1"/>
  <c r="AP137" i="1"/>
  <c r="AP138" i="1" s="1"/>
  <c r="AP139" i="1" s="1"/>
  <c r="AP140" i="1" s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M141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AE142" i="1"/>
  <c r="AM142" i="1"/>
  <c r="AP142" i="1"/>
  <c r="AL142" i="1"/>
  <c r="AL143" i="1" s="1"/>
  <c r="AL144" i="1" s="1"/>
  <c r="AN142" i="1"/>
  <c r="AN143" i="1" s="1"/>
  <c r="AN144" i="1" s="1"/>
  <c r="AJ142" i="1"/>
  <c r="AK142" i="1" s="1"/>
  <c r="BF142" i="1"/>
  <c r="BI142" i="1" s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AE143" i="1"/>
  <c r="AE144" i="1" s="1"/>
  <c r="AM143" i="1"/>
  <c r="AM144" i="1" s="1"/>
  <c r="AP143" i="1"/>
  <c r="AP144" i="1" s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M27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AE28" i="1"/>
  <c r="AE29" i="1" s="1"/>
  <c r="AE30" i="1" s="1"/>
  <c r="AJ28" i="1"/>
  <c r="AK28" i="1" s="1"/>
  <c r="BF28" i="1"/>
  <c r="BH28" i="1"/>
  <c r="BH29" i="1" s="1"/>
  <c r="BH30" i="1" s="1"/>
  <c r="BG28" i="1"/>
  <c r="BG29" i="1" s="1"/>
  <c r="BG30" i="1" s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M31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AE32" i="1"/>
  <c r="AE33" i="1" s="1"/>
  <c r="AE34" i="1" s="1"/>
  <c r="AE35" i="1" s="1"/>
  <c r="AE36" i="1" s="1"/>
  <c r="AJ32" i="1"/>
  <c r="AJ33" i="1" s="1"/>
  <c r="BF32" i="1"/>
  <c r="BF33" i="1" s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M37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AE38" i="1"/>
  <c r="AE39" i="1" s="1"/>
  <c r="AE40" i="1" s="1"/>
  <c r="AM38" i="1"/>
  <c r="AM39" i="1" s="1"/>
  <c r="AM40" i="1" s="1"/>
  <c r="AP38" i="1"/>
  <c r="AP39" i="1" s="1"/>
  <c r="AP40" i="1" s="1"/>
  <c r="AL38" i="1"/>
  <c r="AL39" i="1" s="1"/>
  <c r="AL40" i="1" s="1"/>
  <c r="AN38" i="1"/>
  <c r="AN39" i="1" s="1"/>
  <c r="AN40" i="1" s="1"/>
  <c r="AJ38" i="1"/>
  <c r="BF38" i="1"/>
  <c r="BF39" i="1" s="1"/>
  <c r="BF40" i="1" s="1"/>
  <c r="BH38" i="1"/>
  <c r="BH39" i="1" s="1"/>
  <c r="BH40" i="1" s="1"/>
  <c r="BG38" i="1"/>
  <c r="BG39" i="1" s="1"/>
  <c r="BG40" i="1" s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M41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AE42" i="1"/>
  <c r="AE43" i="1" s="1"/>
  <c r="AE44" i="1" s="1"/>
  <c r="AE45" i="1" s="1"/>
  <c r="AE46" i="1" s="1"/>
  <c r="AJ42" i="1"/>
  <c r="BF42" i="1"/>
  <c r="BF43" i="1" s="1"/>
  <c r="BF44" i="1" s="1"/>
  <c r="BH42" i="1"/>
  <c r="BH43" i="1" s="1"/>
  <c r="BH44" i="1" s="1"/>
  <c r="BH45" i="1" s="1"/>
  <c r="BH46" i="1" s="1"/>
  <c r="BG42" i="1"/>
  <c r="BG43" i="1" s="1"/>
  <c r="BG44" i="1" s="1"/>
  <c r="BG45" i="1" s="1"/>
  <c r="BG46" i="1" s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BM45" i="1"/>
  <c r="BN45" i="1"/>
  <c r="BO45" i="1"/>
  <c r="BP45" i="1"/>
  <c r="BQ45" i="1"/>
  <c r="BR45" i="1"/>
  <c r="BS45" i="1"/>
  <c r="BT45" i="1"/>
  <c r="V41" i="1"/>
  <c r="V45" i="1" s="1"/>
  <c r="BU45" i="1" s="1"/>
  <c r="BV45" i="1"/>
  <c r="BW45" i="1"/>
  <c r="BX45" i="1"/>
  <c r="BY45" i="1"/>
  <c r="BZ45" i="1"/>
  <c r="CA45" i="1"/>
  <c r="CB45" i="1"/>
  <c r="CC45" i="1"/>
  <c r="CM145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AE146" i="1"/>
  <c r="AM146" i="1"/>
  <c r="AP146" i="1"/>
  <c r="AP147" i="1" s="1"/>
  <c r="AL146" i="1"/>
  <c r="AL147" i="1" s="1"/>
  <c r="AL148" i="1" s="1"/>
  <c r="AL149" i="1" s="1"/>
  <c r="AL150" i="1" s="1"/>
  <c r="AL151" i="1" s="1"/>
  <c r="AL152" i="1" s="1"/>
  <c r="AN146" i="1"/>
  <c r="AN147" i="1" s="1"/>
  <c r="AN148" i="1" s="1"/>
  <c r="AJ146" i="1"/>
  <c r="AK146" i="1" s="1"/>
  <c r="BF146" i="1"/>
  <c r="BF147" i="1" s="1"/>
  <c r="BF148" i="1" s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AE147" i="1"/>
  <c r="AE148" i="1" s="1"/>
  <c r="AE149" i="1" s="1"/>
  <c r="AE150" i="1" s="1"/>
  <c r="AE151" i="1" s="1"/>
  <c r="AE152" i="1" s="1"/>
  <c r="AM147" i="1"/>
  <c r="AM148" i="1" s="1"/>
  <c r="AM149" i="1" s="1"/>
  <c r="AM150" i="1" s="1"/>
  <c r="AM151" i="1" s="1"/>
  <c r="AM152" i="1" s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M153" i="1"/>
  <c r="CM154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AE155" i="1"/>
  <c r="AE156" i="1" s="1"/>
  <c r="AE157" i="1" s="1"/>
  <c r="AE158" i="1" s="1"/>
  <c r="AE159" i="1" s="1"/>
  <c r="AE160" i="1" s="1"/>
  <c r="AE161" i="1" s="1"/>
  <c r="AE162" i="1" s="1"/>
  <c r="AM155" i="1"/>
  <c r="AP155" i="1"/>
  <c r="AP156" i="1" s="1"/>
  <c r="AP157" i="1" s="1"/>
  <c r="AP158" i="1" s="1"/>
  <c r="AP159" i="1" s="1"/>
  <c r="AP160" i="1" s="1"/>
  <c r="AP161" i="1" s="1"/>
  <c r="AP162" i="1" s="1"/>
  <c r="AL155" i="1"/>
  <c r="AL156" i="1" s="1"/>
  <c r="AL157" i="1" s="1"/>
  <c r="AL158" i="1" s="1"/>
  <c r="AL159" i="1" s="1"/>
  <c r="AL160" i="1" s="1"/>
  <c r="AL161" i="1" s="1"/>
  <c r="AL162" i="1" s="1"/>
  <c r="AN155" i="1"/>
  <c r="AN156" i="1" s="1"/>
  <c r="AN157" i="1" s="1"/>
  <c r="AN158" i="1" s="1"/>
  <c r="AN159" i="1" s="1"/>
  <c r="AN160" i="1" s="1"/>
  <c r="AN161" i="1" s="1"/>
  <c r="AN162" i="1" s="1"/>
  <c r="AJ155" i="1"/>
  <c r="AK155" i="1" s="1"/>
  <c r="BF155" i="1"/>
  <c r="BI155" i="1" s="1"/>
  <c r="BJ155" i="1"/>
  <c r="BJ156" i="1" s="1"/>
  <c r="BJ157" i="1" s="1"/>
  <c r="BJ158" i="1" s="1"/>
  <c r="BJ159" i="1" s="1"/>
  <c r="BJ160" i="1" s="1"/>
  <c r="BJ161" i="1" s="1"/>
  <c r="BJ162" i="1" s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AM156" i="1"/>
  <c r="AM157" i="1" s="1"/>
  <c r="AM158" i="1" s="1"/>
  <c r="AM159" i="1" s="1"/>
  <c r="AM160" i="1" s="1"/>
  <c r="AM161" i="1" s="1"/>
  <c r="AM162" i="1" s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BM160" i="1"/>
  <c r="BN160" i="1"/>
  <c r="BO160" i="1"/>
  <c r="BP160" i="1"/>
  <c r="BQ160" i="1"/>
  <c r="BR160" i="1"/>
  <c r="BS160" i="1"/>
  <c r="BT160" i="1"/>
  <c r="V154" i="1"/>
  <c r="V161" i="1" s="1"/>
  <c r="BU161" i="1" s="1"/>
  <c r="BV160" i="1"/>
  <c r="BW160" i="1"/>
  <c r="BX160" i="1"/>
  <c r="BY160" i="1"/>
  <c r="BZ160" i="1"/>
  <c r="CA160" i="1"/>
  <c r="CB160" i="1"/>
  <c r="CC160" i="1"/>
  <c r="BM161" i="1"/>
  <c r="BN161" i="1"/>
  <c r="BO161" i="1"/>
  <c r="BP161" i="1"/>
  <c r="BQ161" i="1"/>
  <c r="BR161" i="1"/>
  <c r="BS161" i="1"/>
  <c r="BT161" i="1"/>
  <c r="BV161" i="1"/>
  <c r="BW161" i="1"/>
  <c r="BX161" i="1"/>
  <c r="BY161" i="1"/>
  <c r="BZ161" i="1"/>
  <c r="CA161" i="1"/>
  <c r="CB161" i="1"/>
  <c r="CC161" i="1"/>
  <c r="BM162" i="1"/>
  <c r="BN162" i="1"/>
  <c r="BO162" i="1"/>
  <c r="BP162" i="1"/>
  <c r="BQ162" i="1"/>
  <c r="BR162" i="1"/>
  <c r="BS162" i="1"/>
  <c r="BT162" i="1"/>
  <c r="BV162" i="1"/>
  <c r="BW162" i="1"/>
  <c r="BX162" i="1"/>
  <c r="BY162" i="1"/>
  <c r="BZ162" i="1"/>
  <c r="CA162" i="1"/>
  <c r="CB162" i="1"/>
  <c r="CC162" i="1"/>
  <c r="CM163" i="1"/>
  <c r="CM164" i="1"/>
  <c r="BM165" i="1"/>
  <c r="BN165" i="1"/>
  <c r="Q165" i="1"/>
  <c r="Q166" i="1" s="1"/>
  <c r="BP165" i="1"/>
  <c r="BQ165" i="1"/>
  <c r="T165" i="1"/>
  <c r="BR165" i="1" s="1"/>
  <c r="U165" i="1"/>
  <c r="BT165" i="1" s="1"/>
  <c r="BU165" i="1"/>
  <c r="BV165" i="1"/>
  <c r="BW165" i="1"/>
  <c r="BX165" i="1"/>
  <c r="Z165" i="1"/>
  <c r="BY165" i="1" s="1"/>
  <c r="BZ165" i="1"/>
  <c r="CA165" i="1"/>
  <c r="CB165" i="1"/>
  <c r="CC165" i="1"/>
  <c r="AE165" i="1"/>
  <c r="AE166" i="1" s="1"/>
  <c r="AE167" i="1" s="1"/>
  <c r="AE168" i="1" s="1"/>
  <c r="AM165" i="1"/>
  <c r="AM166" i="1" s="1"/>
  <c r="AM167" i="1" s="1"/>
  <c r="AM168" i="1" s="1"/>
  <c r="AP165" i="1"/>
  <c r="AP166" i="1" s="1"/>
  <c r="AP167" i="1" s="1"/>
  <c r="AP168" i="1" s="1"/>
  <c r="AL165" i="1"/>
  <c r="AL166" i="1" s="1"/>
  <c r="AL167" i="1" s="1"/>
  <c r="AL168" i="1" s="1"/>
  <c r="AN165" i="1"/>
  <c r="AN166" i="1" s="1"/>
  <c r="AN167" i="1" s="1"/>
  <c r="AN168" i="1" s="1"/>
  <c r="AJ165" i="1"/>
  <c r="AJ166" i="1" s="1"/>
  <c r="BF165" i="1"/>
  <c r="BI165" i="1" s="1"/>
  <c r="BJ165" i="1"/>
  <c r="BJ166" i="1" s="1"/>
  <c r="BJ167" i="1" s="1"/>
  <c r="BJ168" i="1" s="1"/>
  <c r="BM166" i="1"/>
  <c r="BN166" i="1"/>
  <c r="BP166" i="1"/>
  <c r="BQ166" i="1"/>
  <c r="BU166" i="1"/>
  <c r="BV166" i="1"/>
  <c r="BW166" i="1"/>
  <c r="BX166" i="1"/>
  <c r="BY166" i="1"/>
  <c r="BZ166" i="1"/>
  <c r="CA166" i="1"/>
  <c r="CB166" i="1"/>
  <c r="CC166" i="1"/>
  <c r="BM167" i="1"/>
  <c r="BN167" i="1"/>
  <c r="BO167" i="1"/>
  <c r="BP167" i="1"/>
  <c r="BQ167" i="1"/>
  <c r="BU167" i="1"/>
  <c r="BV167" i="1"/>
  <c r="BW167" i="1"/>
  <c r="BX167" i="1"/>
  <c r="BY167" i="1"/>
  <c r="BZ167" i="1"/>
  <c r="CA167" i="1"/>
  <c r="CB167" i="1"/>
  <c r="CC167" i="1"/>
  <c r="BM168" i="1"/>
  <c r="BN168" i="1"/>
  <c r="BO168" i="1"/>
  <c r="BP168" i="1"/>
  <c r="BQ168" i="1"/>
  <c r="BU168" i="1"/>
  <c r="BV168" i="1"/>
  <c r="BW168" i="1"/>
  <c r="BX168" i="1"/>
  <c r="BY168" i="1"/>
  <c r="BZ168" i="1"/>
  <c r="CA168" i="1"/>
  <c r="CB168" i="1"/>
  <c r="CC168" i="1"/>
  <c r="CM169" i="1"/>
  <c r="BM170" i="1"/>
  <c r="BN170" i="1"/>
  <c r="BO170" i="1"/>
  <c r="BP170" i="1"/>
  <c r="BQ170" i="1"/>
  <c r="BR170" i="1"/>
  <c r="BS170" i="1"/>
  <c r="U170" i="1"/>
  <c r="BT170" i="1" s="1"/>
  <c r="BU170" i="1"/>
  <c r="BV170" i="1"/>
  <c r="BW170" i="1"/>
  <c r="BX170" i="1"/>
  <c r="BY170" i="1"/>
  <c r="BZ170" i="1"/>
  <c r="CA170" i="1"/>
  <c r="CB170" i="1"/>
  <c r="CC170" i="1"/>
  <c r="AE170" i="1"/>
  <c r="AE171" i="1" s="1"/>
  <c r="AE172" i="1" s="1"/>
  <c r="AM170" i="1"/>
  <c r="AM171" i="1" s="1"/>
  <c r="AP170" i="1"/>
  <c r="AP171" i="1" s="1"/>
  <c r="AP172" i="1" s="1"/>
  <c r="AL170" i="1"/>
  <c r="AL171" i="1" s="1"/>
  <c r="AL172" i="1" s="1"/>
  <c r="AN170" i="1"/>
  <c r="AN171" i="1" s="1"/>
  <c r="AN172" i="1" s="1"/>
  <c r="AJ170" i="1"/>
  <c r="BF170" i="1"/>
  <c r="BF171" i="1" s="1"/>
  <c r="BH170" i="1"/>
  <c r="BH171" i="1" s="1"/>
  <c r="BH172" i="1" s="1"/>
  <c r="BG170" i="1"/>
  <c r="BG171" i="1" s="1"/>
  <c r="BG172" i="1" s="1"/>
  <c r="BM171" i="1"/>
  <c r="BN171" i="1"/>
  <c r="BO171" i="1"/>
  <c r="BP171" i="1"/>
  <c r="BQ171" i="1"/>
  <c r="BR171" i="1"/>
  <c r="BS171" i="1"/>
  <c r="BU171" i="1"/>
  <c r="BV171" i="1"/>
  <c r="BW171" i="1"/>
  <c r="BX171" i="1"/>
  <c r="BY171" i="1"/>
  <c r="BZ171" i="1"/>
  <c r="CA171" i="1"/>
  <c r="CB171" i="1"/>
  <c r="CC171" i="1"/>
  <c r="BM172" i="1"/>
  <c r="BN172" i="1"/>
  <c r="BO172" i="1"/>
  <c r="BP172" i="1"/>
  <c r="BQ172" i="1"/>
  <c r="BR172" i="1"/>
  <c r="BS172" i="1"/>
  <c r="BU172" i="1"/>
  <c r="BV172" i="1"/>
  <c r="BW172" i="1"/>
  <c r="BX172" i="1"/>
  <c r="BY172" i="1"/>
  <c r="BZ172" i="1"/>
  <c r="CA172" i="1"/>
  <c r="CB172" i="1"/>
  <c r="CC172" i="1"/>
  <c r="CM173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AE174" i="1"/>
  <c r="AE175" i="1" s="1"/>
  <c r="AE176" i="1" s="1"/>
  <c r="AE177" i="1" s="1"/>
  <c r="AE178" i="1" s="1"/>
  <c r="AE179" i="1" s="1"/>
  <c r="AM174" i="1"/>
  <c r="AM175" i="1" s="1"/>
  <c r="AM176" i="1" s="1"/>
  <c r="AM177" i="1" s="1"/>
  <c r="AM178" i="1" s="1"/>
  <c r="AM179" i="1" s="1"/>
  <c r="AP174" i="1"/>
  <c r="AP175" i="1" s="1"/>
  <c r="AP176" i="1" s="1"/>
  <c r="AL174" i="1"/>
  <c r="AL175" i="1" s="1"/>
  <c r="AL176" i="1" s="1"/>
  <c r="AL177" i="1" s="1"/>
  <c r="AL178" i="1" s="1"/>
  <c r="AL179" i="1" s="1"/>
  <c r="AN174" i="1"/>
  <c r="AN175" i="1" s="1"/>
  <c r="AN176" i="1" s="1"/>
  <c r="AN177" i="1" s="1"/>
  <c r="AN178" i="1" s="1"/>
  <c r="AN179" i="1" s="1"/>
  <c r="AJ174" i="1"/>
  <c r="AJ175" i="1" s="1"/>
  <c r="BF174" i="1"/>
  <c r="BF175" i="1" s="1"/>
  <c r="BH174" i="1"/>
  <c r="BH175" i="1" s="1"/>
  <c r="BH176" i="1" s="1"/>
  <c r="BH177" i="1" s="1"/>
  <c r="BH178" i="1" s="1"/>
  <c r="BH179" i="1" s="1"/>
  <c r="BG174" i="1"/>
  <c r="BG175" i="1" s="1"/>
  <c r="BG176" i="1" s="1"/>
  <c r="BG177" i="1" s="1"/>
  <c r="BG178" i="1" s="1"/>
  <c r="BG179" i="1" s="1"/>
  <c r="BJ174" i="1"/>
  <c r="BJ175" i="1" s="1"/>
  <c r="BJ176" i="1" s="1"/>
  <c r="BJ177" i="1" s="1"/>
  <c r="BJ178" i="1" s="1"/>
  <c r="BJ179" i="1" s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M180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AE181" i="1"/>
  <c r="AE182" i="1" s="1"/>
  <c r="AE183" i="1" s="1"/>
  <c r="AE184" i="1" s="1"/>
  <c r="AE185" i="1" s="1"/>
  <c r="AM181" i="1"/>
  <c r="AM182" i="1" s="1"/>
  <c r="AM183" i="1" s="1"/>
  <c r="AM184" i="1" s="1"/>
  <c r="AM185" i="1" s="1"/>
  <c r="AP181" i="1"/>
  <c r="AL181" i="1"/>
  <c r="AL182" i="1" s="1"/>
  <c r="AL183" i="1" s="1"/>
  <c r="AL184" i="1" s="1"/>
  <c r="AL185" i="1" s="1"/>
  <c r="AN181" i="1"/>
  <c r="AN182" i="1" s="1"/>
  <c r="AN183" i="1" s="1"/>
  <c r="AN184" i="1" s="1"/>
  <c r="AN185" i="1" s="1"/>
  <c r="AJ181" i="1"/>
  <c r="AJ182" i="1" s="1"/>
  <c r="BF181" i="1"/>
  <c r="BH181" i="1"/>
  <c r="BH182" i="1" s="1"/>
  <c r="BH183" i="1" s="1"/>
  <c r="BH184" i="1" s="1"/>
  <c r="BH185" i="1" s="1"/>
  <c r="BG181" i="1"/>
  <c r="BG182" i="1" s="1"/>
  <c r="BG183" i="1" s="1"/>
  <c r="BG184" i="1" s="1"/>
  <c r="BG185" i="1" s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M186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AE187" i="1"/>
  <c r="AE188" i="1" s="1"/>
  <c r="AE189" i="1" s="1"/>
  <c r="AE190" i="1" s="1"/>
  <c r="AE191" i="1" s="1"/>
  <c r="AE192" i="1" s="1"/>
  <c r="AM187" i="1"/>
  <c r="AM188" i="1" s="1"/>
  <c r="AM189" i="1" s="1"/>
  <c r="AM190" i="1" s="1"/>
  <c r="AM191" i="1" s="1"/>
  <c r="AM192" i="1" s="1"/>
  <c r="AP187" i="1"/>
  <c r="AL187" i="1"/>
  <c r="AL188" i="1" s="1"/>
  <c r="AL189" i="1" s="1"/>
  <c r="AL190" i="1" s="1"/>
  <c r="AL191" i="1" s="1"/>
  <c r="AL192" i="1" s="1"/>
  <c r="AN187" i="1"/>
  <c r="AN188" i="1" s="1"/>
  <c r="AN189" i="1" s="1"/>
  <c r="AN190" i="1" s="1"/>
  <c r="AN191" i="1" s="1"/>
  <c r="AN192" i="1" s="1"/>
  <c r="AJ187" i="1"/>
  <c r="AK187" i="1" s="1"/>
  <c r="BF187" i="1"/>
  <c r="BF188" i="1" s="1"/>
  <c r="BH187" i="1"/>
  <c r="BH188" i="1" s="1"/>
  <c r="BH189" i="1" s="1"/>
  <c r="BH190" i="1" s="1"/>
  <c r="BH191" i="1" s="1"/>
  <c r="BH192" i="1" s="1"/>
  <c r="BG187" i="1"/>
  <c r="BG188" i="1" s="1"/>
  <c r="BG189" i="1" s="1"/>
  <c r="BG190" i="1" s="1"/>
  <c r="BG191" i="1" s="1"/>
  <c r="BG192" i="1" s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AP188" i="1"/>
  <c r="AP189" i="1" s="1"/>
  <c r="AP190" i="1" s="1"/>
  <c r="AP191" i="1" s="1"/>
  <c r="AP192" i="1" s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M193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AE194" i="1"/>
  <c r="AE195" i="1" s="1"/>
  <c r="AE196" i="1" s="1"/>
  <c r="AE197" i="1" s="1"/>
  <c r="AM194" i="1"/>
  <c r="AM195" i="1" s="1"/>
  <c r="AM196" i="1" s="1"/>
  <c r="AM197" i="1" s="1"/>
  <c r="AP194" i="1"/>
  <c r="AP195" i="1" s="1"/>
  <c r="AP196" i="1" s="1"/>
  <c r="AP197" i="1" s="1"/>
  <c r="AL194" i="1"/>
  <c r="AL195" i="1" s="1"/>
  <c r="AL196" i="1" s="1"/>
  <c r="AL197" i="1" s="1"/>
  <c r="AN194" i="1"/>
  <c r="AN195" i="1" s="1"/>
  <c r="AN196" i="1" s="1"/>
  <c r="AN197" i="1" s="1"/>
  <c r="AJ194" i="1"/>
  <c r="BF194" i="1"/>
  <c r="BH194" i="1"/>
  <c r="BH195" i="1" s="1"/>
  <c r="BH196" i="1" s="1"/>
  <c r="BH197" i="1" s="1"/>
  <c r="BG194" i="1"/>
  <c r="BG195" i="1" s="1"/>
  <c r="BG196" i="1" s="1"/>
  <c r="BG197" i="1" s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M198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M203" i="1"/>
  <c r="CM204" i="1"/>
  <c r="CM231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M205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AE206" i="1"/>
  <c r="AE207" i="1" s="1"/>
  <c r="AE208" i="1" s="1"/>
  <c r="AM206" i="1"/>
  <c r="AM207" i="1" s="1"/>
  <c r="AM208" i="1" s="1"/>
  <c r="AP206" i="1"/>
  <c r="AP207" i="1" s="1"/>
  <c r="AP208" i="1" s="1"/>
  <c r="AL206" i="1"/>
  <c r="AL207" i="1" s="1"/>
  <c r="AL208" i="1" s="1"/>
  <c r="AN206" i="1"/>
  <c r="AN207" i="1" s="1"/>
  <c r="AN208" i="1" s="1"/>
  <c r="AJ206" i="1"/>
  <c r="AK206" i="1" s="1"/>
  <c r="BF206" i="1"/>
  <c r="BF207" i="1" s="1"/>
  <c r="BH206" i="1"/>
  <c r="BH207" i="1" s="1"/>
  <c r="BH208" i="1" s="1"/>
  <c r="BG206" i="1"/>
  <c r="BG207" i="1" s="1"/>
  <c r="BG208" i="1" s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M209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AE210" i="1"/>
  <c r="AE211" i="1" s="1"/>
  <c r="AM210" i="1"/>
  <c r="AM211" i="1" s="1"/>
  <c r="AP210" i="1"/>
  <c r="AL210" i="1"/>
  <c r="AL211" i="1" s="1"/>
  <c r="AN210" i="1"/>
  <c r="AN211" i="1" s="1"/>
  <c r="AJ210" i="1"/>
  <c r="AK210" i="1" s="1"/>
  <c r="BF210" i="1"/>
  <c r="BF211" i="1" s="1"/>
  <c r="BH210" i="1"/>
  <c r="BH211" i="1" s="1"/>
  <c r="BG210" i="1"/>
  <c r="BG211" i="1" s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AP211" i="1"/>
  <c r="CM212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AE213" i="1"/>
  <c r="AE214" i="1" s="1"/>
  <c r="AE215" i="1" s="1"/>
  <c r="AE216" i="1" s="1"/>
  <c r="AE217" i="1" s="1"/>
  <c r="AE218" i="1" s="1"/>
  <c r="AM213" i="1"/>
  <c r="AM214" i="1" s="1"/>
  <c r="AM215" i="1" s="1"/>
  <c r="AM216" i="1" s="1"/>
  <c r="AM217" i="1" s="1"/>
  <c r="AM218" i="1" s="1"/>
  <c r="AP213" i="1"/>
  <c r="AP214" i="1" s="1"/>
  <c r="AP215" i="1" s="1"/>
  <c r="AP216" i="1" s="1"/>
  <c r="AP217" i="1" s="1"/>
  <c r="AP218" i="1" s="1"/>
  <c r="AL213" i="1"/>
  <c r="AL214" i="1" s="1"/>
  <c r="AL215" i="1" s="1"/>
  <c r="AL216" i="1" s="1"/>
  <c r="AL217" i="1" s="1"/>
  <c r="AL218" i="1" s="1"/>
  <c r="AN213" i="1"/>
  <c r="AN214" i="1" s="1"/>
  <c r="AN215" i="1" s="1"/>
  <c r="AN216" i="1" s="1"/>
  <c r="AN217" i="1" s="1"/>
  <c r="AN218" i="1" s="1"/>
  <c r="AJ213" i="1"/>
  <c r="AK213" i="1" s="1"/>
  <c r="BF213" i="1"/>
  <c r="BH213" i="1"/>
  <c r="BH214" i="1" s="1"/>
  <c r="BH215" i="1" s="1"/>
  <c r="BH216" i="1" s="1"/>
  <c r="BH217" i="1" s="1"/>
  <c r="BH218" i="1" s="1"/>
  <c r="BG213" i="1"/>
  <c r="BG214" i="1" s="1"/>
  <c r="BG215" i="1" s="1"/>
  <c r="BG216" i="1" s="1"/>
  <c r="BG217" i="1" s="1"/>
  <c r="BG218" i="1" s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M219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AE220" i="1"/>
  <c r="AE221" i="1" s="1"/>
  <c r="AE222" i="1" s="1"/>
  <c r="AM220" i="1"/>
  <c r="AM221" i="1" s="1"/>
  <c r="AM222" i="1" s="1"/>
  <c r="AP220" i="1"/>
  <c r="AL220" i="1"/>
  <c r="AL221" i="1" s="1"/>
  <c r="AL222" i="1" s="1"/>
  <c r="AN220" i="1"/>
  <c r="AN221" i="1" s="1"/>
  <c r="AN222" i="1" s="1"/>
  <c r="AJ220" i="1"/>
  <c r="AJ221" i="1" s="1"/>
  <c r="AK221" i="1" s="1"/>
  <c r="BF220" i="1"/>
  <c r="BH220" i="1"/>
  <c r="BH221" i="1" s="1"/>
  <c r="BH222" i="1" s="1"/>
  <c r="BG220" i="1"/>
  <c r="BG221" i="1" s="1"/>
  <c r="BG222" i="1" s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M223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AE224" i="1"/>
  <c r="AE226" i="1" s="1"/>
  <c r="AM224" i="1"/>
  <c r="AM225" i="1" s="1"/>
  <c r="AM226" i="1" s="1"/>
  <c r="AM227" i="1" s="1"/>
  <c r="AP224" i="1"/>
  <c r="AP225" i="1" s="1"/>
  <c r="AP226" i="1" s="1"/>
  <c r="AL224" i="1"/>
  <c r="AL225" i="1" s="1"/>
  <c r="AL226" i="1" s="1"/>
  <c r="AL227" i="1" s="1"/>
  <c r="AN224" i="1"/>
  <c r="AN225" i="1" s="1"/>
  <c r="AN226" i="1" s="1"/>
  <c r="AN227" i="1" s="1"/>
  <c r="AJ224" i="1"/>
  <c r="AK224" i="1" s="1"/>
  <c r="BF224" i="1"/>
  <c r="BI224" i="1" s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AE225" i="1"/>
  <c r="AE227" i="1" s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M236" i="1"/>
  <c r="CM266" i="1"/>
  <c r="BM267" i="1"/>
  <c r="BN267" i="1"/>
  <c r="BO267" i="1"/>
  <c r="BP267" i="1"/>
  <c r="BQ267" i="1"/>
  <c r="BR267" i="1"/>
  <c r="BS267" i="1"/>
  <c r="BT267" i="1"/>
  <c r="BU267" i="1"/>
  <c r="BV267" i="1"/>
  <c r="BW267" i="1"/>
  <c r="BX267" i="1"/>
  <c r="BY267" i="1"/>
  <c r="BZ267" i="1"/>
  <c r="CA267" i="1"/>
  <c r="CB267" i="1"/>
  <c r="CC267" i="1"/>
  <c r="AE267" i="1"/>
  <c r="AE268" i="1" s="1"/>
  <c r="AE269" i="1" s="1"/>
  <c r="AE270" i="1" s="1"/>
  <c r="AE271" i="1" s="1"/>
  <c r="AM267" i="1"/>
  <c r="AM268" i="1" s="1"/>
  <c r="AM269" i="1" s="1"/>
  <c r="AM270" i="1" s="1"/>
  <c r="AM271" i="1" s="1"/>
  <c r="AP267" i="1"/>
  <c r="AL267" i="1"/>
  <c r="AL268" i="1" s="1"/>
  <c r="AL269" i="1" s="1"/>
  <c r="AL270" i="1" s="1"/>
  <c r="AL271" i="1" s="1"/>
  <c r="AN267" i="1"/>
  <c r="AN268" i="1" s="1"/>
  <c r="AN269" i="1" s="1"/>
  <c r="AJ267" i="1"/>
  <c r="AK267" i="1" s="1"/>
  <c r="BF267" i="1"/>
  <c r="BF268" i="1" s="1"/>
  <c r="BH267" i="1"/>
  <c r="BH268" i="1" s="1"/>
  <c r="BH269" i="1" s="1"/>
  <c r="BH270" i="1" s="1"/>
  <c r="BH271" i="1" s="1"/>
  <c r="BG267" i="1"/>
  <c r="BG268" i="1" s="1"/>
  <c r="BG269" i="1" s="1"/>
  <c r="BG270" i="1" s="1"/>
  <c r="BG271" i="1" s="1"/>
  <c r="BM268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BZ268" i="1"/>
  <c r="CA268" i="1"/>
  <c r="CB268" i="1"/>
  <c r="CC268" i="1"/>
  <c r="AP268" i="1"/>
  <c r="AP269" i="1" s="1"/>
  <c r="AP270" i="1" s="1"/>
  <c r="AP271" i="1" s="1"/>
  <c r="BM269" i="1"/>
  <c r="BN269" i="1"/>
  <c r="BO269" i="1"/>
  <c r="BP269" i="1"/>
  <c r="BQ269" i="1"/>
  <c r="BR269" i="1"/>
  <c r="BS269" i="1"/>
  <c r="BT269" i="1"/>
  <c r="BU269" i="1"/>
  <c r="BV269" i="1"/>
  <c r="BW269" i="1"/>
  <c r="BX269" i="1"/>
  <c r="BY269" i="1"/>
  <c r="BZ269" i="1"/>
  <c r="CA269" i="1"/>
  <c r="CB269" i="1"/>
  <c r="CC269" i="1"/>
  <c r="BM270" i="1"/>
  <c r="BN270" i="1"/>
  <c r="BO270" i="1"/>
  <c r="BP270" i="1"/>
  <c r="BQ270" i="1"/>
  <c r="BR270" i="1"/>
  <c r="BS270" i="1"/>
  <c r="BT270" i="1"/>
  <c r="BU270" i="1"/>
  <c r="BV270" i="1"/>
  <c r="BW270" i="1"/>
  <c r="BX270" i="1"/>
  <c r="BY270" i="1"/>
  <c r="BZ270" i="1"/>
  <c r="CA270" i="1"/>
  <c r="CB270" i="1"/>
  <c r="CC270" i="1"/>
  <c r="BM271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BZ271" i="1"/>
  <c r="CA271" i="1"/>
  <c r="CB271" i="1"/>
  <c r="CC271" i="1"/>
  <c r="CM237" i="1"/>
  <c r="CM238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AE239" i="1"/>
  <c r="AE240" i="1" s="1"/>
  <c r="AM239" i="1"/>
  <c r="AM240" i="1" s="1"/>
  <c r="AP239" i="1"/>
  <c r="AP240" i="1" s="1"/>
  <c r="AL239" i="1"/>
  <c r="AL240" i="1" s="1"/>
  <c r="AN239" i="1"/>
  <c r="AN240" i="1" s="1"/>
  <c r="AJ239" i="1"/>
  <c r="AK239" i="1" s="1"/>
  <c r="BF239" i="1"/>
  <c r="BF240" i="1" s="1"/>
  <c r="BI240" i="1" s="1"/>
  <c r="BJ239" i="1"/>
  <c r="BJ240" i="1" s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M241" i="1"/>
  <c r="BM242" i="1"/>
  <c r="BN242" i="1"/>
  <c r="BO242" i="1"/>
  <c r="BP242" i="1"/>
  <c r="BQ242" i="1"/>
  <c r="BR242" i="1"/>
  <c r="BS242" i="1"/>
  <c r="BT242" i="1"/>
  <c r="BU242" i="1"/>
  <c r="BV242" i="1"/>
  <c r="BW242" i="1"/>
  <c r="BX242" i="1"/>
  <c r="BY242" i="1"/>
  <c r="BZ242" i="1"/>
  <c r="CA242" i="1"/>
  <c r="CB242" i="1"/>
  <c r="CC242" i="1"/>
  <c r="AE242" i="1"/>
  <c r="AM242" i="1"/>
  <c r="AP242" i="1"/>
  <c r="AL242" i="1"/>
  <c r="AN242" i="1"/>
  <c r="AJ242" i="1"/>
  <c r="AK242" i="1" s="1"/>
  <c r="BF242" i="1"/>
  <c r="BI242" i="1" s="1"/>
  <c r="BJ242" i="1"/>
  <c r="CM243" i="1"/>
  <c r="BM244" i="1"/>
  <c r="BN244" i="1"/>
  <c r="BO244" i="1"/>
  <c r="BP244" i="1"/>
  <c r="BQ244" i="1"/>
  <c r="BR244" i="1"/>
  <c r="BS244" i="1"/>
  <c r="BT244" i="1"/>
  <c r="BU244" i="1"/>
  <c r="BV244" i="1"/>
  <c r="BW244" i="1"/>
  <c r="BX244" i="1"/>
  <c r="BY244" i="1"/>
  <c r="BZ244" i="1"/>
  <c r="CA244" i="1"/>
  <c r="CB244" i="1"/>
  <c r="CC244" i="1"/>
  <c r="AE244" i="1"/>
  <c r="AE245" i="1" s="1"/>
  <c r="AM244" i="1"/>
  <c r="AM245" i="1" s="1"/>
  <c r="AP244" i="1"/>
  <c r="AP245" i="1" s="1"/>
  <c r="AL244" i="1"/>
  <c r="AL245" i="1" s="1"/>
  <c r="AN244" i="1"/>
  <c r="AN245" i="1" s="1"/>
  <c r="AJ244" i="1"/>
  <c r="BF244" i="1"/>
  <c r="BM245" i="1"/>
  <c r="BN245" i="1"/>
  <c r="BO245" i="1"/>
  <c r="BP245" i="1"/>
  <c r="BQ245" i="1"/>
  <c r="BR245" i="1"/>
  <c r="BS245" i="1"/>
  <c r="BT245" i="1"/>
  <c r="BU245" i="1"/>
  <c r="BV245" i="1"/>
  <c r="BW245" i="1"/>
  <c r="BX245" i="1"/>
  <c r="BY245" i="1"/>
  <c r="BZ245" i="1"/>
  <c r="CA245" i="1"/>
  <c r="CB245" i="1"/>
  <c r="CC245" i="1"/>
  <c r="CM246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BZ247" i="1"/>
  <c r="CA247" i="1"/>
  <c r="CB247" i="1"/>
  <c r="CC247" i="1"/>
  <c r="AE246" i="1"/>
  <c r="AE247" i="1" s="1"/>
  <c r="AE248" i="1" s="1"/>
  <c r="AM247" i="1"/>
  <c r="AM248" i="1" s="1"/>
  <c r="AP247" i="1"/>
  <c r="AP248" i="1" s="1"/>
  <c r="AL247" i="1"/>
  <c r="AL248" i="1" s="1"/>
  <c r="AN247" i="1"/>
  <c r="AN248" i="1" s="1"/>
  <c r="AJ247" i="1"/>
  <c r="BF247" i="1"/>
  <c r="BI247" i="1" s="1"/>
  <c r="BM248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BZ248" i="1"/>
  <c r="CA248" i="1"/>
  <c r="CB248" i="1"/>
  <c r="CC248" i="1"/>
  <c r="CM249" i="1"/>
  <c r="BM250" i="1"/>
  <c r="BN250" i="1"/>
  <c r="BO250" i="1"/>
  <c r="BP250" i="1"/>
  <c r="BQ250" i="1"/>
  <c r="BR250" i="1"/>
  <c r="BS250" i="1"/>
  <c r="BT250" i="1"/>
  <c r="BU250" i="1"/>
  <c r="BV250" i="1"/>
  <c r="BW250" i="1"/>
  <c r="BX250" i="1"/>
  <c r="BY250" i="1"/>
  <c r="BZ250" i="1"/>
  <c r="CA250" i="1"/>
  <c r="CB250" i="1"/>
  <c r="CC250" i="1"/>
  <c r="AE250" i="1"/>
  <c r="AM250" i="1"/>
  <c r="AP250" i="1"/>
  <c r="AL250" i="1"/>
  <c r="AN250" i="1"/>
  <c r="AJ250" i="1"/>
  <c r="AK250" i="1" s="1"/>
  <c r="BF250" i="1"/>
  <c r="BI250" i="1" s="1"/>
  <c r="CM251" i="1"/>
  <c r="BM252" i="1"/>
  <c r="BN252" i="1"/>
  <c r="BO252" i="1"/>
  <c r="BP252" i="1"/>
  <c r="BQ252" i="1"/>
  <c r="BR252" i="1"/>
  <c r="BS252" i="1"/>
  <c r="BT252" i="1"/>
  <c r="BU252" i="1"/>
  <c r="BV252" i="1"/>
  <c r="BW252" i="1"/>
  <c r="BX252" i="1"/>
  <c r="BY252" i="1"/>
  <c r="BZ252" i="1"/>
  <c r="CA252" i="1"/>
  <c r="CB252" i="1"/>
  <c r="CC252" i="1"/>
  <c r="AE251" i="1"/>
  <c r="AE252" i="1" s="1"/>
  <c r="AM252" i="1"/>
  <c r="AP252" i="1"/>
  <c r="AL252" i="1"/>
  <c r="AN252" i="1"/>
  <c r="AJ252" i="1"/>
  <c r="AK252" i="1" s="1"/>
  <c r="BF252" i="1"/>
  <c r="BI252" i="1" s="1"/>
  <c r="CM253" i="1"/>
  <c r="BM254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BZ254" i="1"/>
  <c r="CA254" i="1"/>
  <c r="CB254" i="1"/>
  <c r="CC254" i="1"/>
  <c r="AE253" i="1"/>
  <c r="AE254" i="1" s="1"/>
  <c r="AE255" i="1" s="1"/>
  <c r="AM254" i="1"/>
  <c r="AP254" i="1"/>
  <c r="AP255" i="1" s="1"/>
  <c r="AL254" i="1"/>
  <c r="AL255" i="1" s="1"/>
  <c r="AN254" i="1"/>
  <c r="AN255" i="1" s="1"/>
  <c r="AJ254" i="1"/>
  <c r="AK254" i="1" s="1"/>
  <c r="BF254" i="1"/>
  <c r="BI254" i="1" s="1"/>
  <c r="BM255" i="1"/>
  <c r="BN255" i="1"/>
  <c r="BO255" i="1"/>
  <c r="BP255" i="1"/>
  <c r="BQ255" i="1"/>
  <c r="BR255" i="1"/>
  <c r="BS255" i="1"/>
  <c r="BT255" i="1"/>
  <c r="BU255" i="1"/>
  <c r="BV255" i="1"/>
  <c r="BW255" i="1"/>
  <c r="BX255" i="1"/>
  <c r="BY255" i="1"/>
  <c r="BZ255" i="1"/>
  <c r="CA255" i="1"/>
  <c r="CB255" i="1"/>
  <c r="CC255" i="1"/>
  <c r="CM256" i="1"/>
  <c r="BM257" i="1"/>
  <c r="BN257" i="1"/>
  <c r="BO257" i="1"/>
  <c r="BP257" i="1"/>
  <c r="BQ257" i="1"/>
  <c r="BR257" i="1"/>
  <c r="BS257" i="1"/>
  <c r="BT257" i="1"/>
  <c r="BU257" i="1"/>
  <c r="BV257" i="1"/>
  <c r="BW257" i="1"/>
  <c r="BX257" i="1"/>
  <c r="BY257" i="1"/>
  <c r="BZ257" i="1"/>
  <c r="CA257" i="1"/>
  <c r="CB257" i="1"/>
  <c r="CC257" i="1"/>
  <c r="AE257" i="1"/>
  <c r="AE258" i="1" s="1"/>
  <c r="AE259" i="1" s="1"/>
  <c r="AM257" i="1"/>
  <c r="AM258" i="1" s="1"/>
  <c r="AM259" i="1" s="1"/>
  <c r="AP257" i="1"/>
  <c r="AP258" i="1" s="1"/>
  <c r="AP259" i="1" s="1"/>
  <c r="AL257" i="1"/>
  <c r="AL258" i="1" s="1"/>
  <c r="AL259" i="1" s="1"/>
  <c r="AN257" i="1"/>
  <c r="AN258" i="1" s="1"/>
  <c r="AN259" i="1" s="1"/>
  <c r="AJ257" i="1"/>
  <c r="AJ258" i="1" s="1"/>
  <c r="AK258" i="1" s="1"/>
  <c r="BF257" i="1"/>
  <c r="BF258" i="1" s="1"/>
  <c r="BM258" i="1"/>
  <c r="BN258" i="1"/>
  <c r="BO258" i="1"/>
  <c r="BP258" i="1"/>
  <c r="BQ258" i="1"/>
  <c r="BR258" i="1"/>
  <c r="BS258" i="1"/>
  <c r="BT258" i="1"/>
  <c r="BU258" i="1"/>
  <c r="BV258" i="1"/>
  <c r="BW258" i="1"/>
  <c r="BX258" i="1"/>
  <c r="BY258" i="1"/>
  <c r="BZ258" i="1"/>
  <c r="CA258" i="1"/>
  <c r="CB258" i="1"/>
  <c r="CC258" i="1"/>
  <c r="BM259" i="1"/>
  <c r="BN259" i="1"/>
  <c r="BO259" i="1"/>
  <c r="BP259" i="1"/>
  <c r="BQ259" i="1"/>
  <c r="BR259" i="1"/>
  <c r="BS259" i="1"/>
  <c r="BT259" i="1"/>
  <c r="BU259" i="1"/>
  <c r="BV259" i="1"/>
  <c r="BW259" i="1"/>
  <c r="BX259" i="1"/>
  <c r="BY259" i="1"/>
  <c r="BZ259" i="1"/>
  <c r="CA259" i="1"/>
  <c r="CB259" i="1"/>
  <c r="CC259" i="1"/>
  <c r="CM66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AE67" i="1"/>
  <c r="AE68" i="1" s="1"/>
  <c r="AM67" i="1"/>
  <c r="AM68" i="1" s="1"/>
  <c r="AP67" i="1"/>
  <c r="AP68" i="1" s="1"/>
  <c r="AL67" i="1"/>
  <c r="AL68" i="1" s="1"/>
  <c r="AN67" i="1"/>
  <c r="AN68" i="1" s="1"/>
  <c r="AJ67" i="1"/>
  <c r="AK67" i="1" s="1"/>
  <c r="BF67" i="1"/>
  <c r="BF68" i="1" s="1"/>
  <c r="BH67" i="1"/>
  <c r="BH68" i="1" s="1"/>
  <c r="BG67" i="1"/>
  <c r="BG68" i="1" s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M260" i="1"/>
  <c r="BM261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BZ261" i="1"/>
  <c r="CA261" i="1"/>
  <c r="CB261" i="1"/>
  <c r="CC261" i="1"/>
  <c r="AE260" i="1"/>
  <c r="AE261" i="1" s="1"/>
  <c r="AE262" i="1" s="1"/>
  <c r="AM261" i="1"/>
  <c r="AM262" i="1" s="1"/>
  <c r="AP261" i="1"/>
  <c r="AP262" i="1" s="1"/>
  <c r="AL261" i="1"/>
  <c r="AL262" i="1" s="1"/>
  <c r="AN261" i="1"/>
  <c r="AN262" i="1" s="1"/>
  <c r="AJ261" i="1"/>
  <c r="AJ262" i="1" s="1"/>
  <c r="AK262" i="1" s="1"/>
  <c r="BF261" i="1"/>
  <c r="BM262" i="1"/>
  <c r="BN262" i="1"/>
  <c r="BO262" i="1"/>
  <c r="BP262" i="1"/>
  <c r="BQ262" i="1"/>
  <c r="BR262" i="1"/>
  <c r="BS262" i="1"/>
  <c r="BT262" i="1"/>
  <c r="BU262" i="1"/>
  <c r="BV262" i="1"/>
  <c r="BW262" i="1"/>
  <c r="BX262" i="1"/>
  <c r="BY262" i="1"/>
  <c r="BZ262" i="1"/>
  <c r="CA262" i="1"/>
  <c r="CB262" i="1"/>
  <c r="CC262" i="1"/>
  <c r="CM263" i="1"/>
  <c r="BM264" i="1"/>
  <c r="BN264" i="1"/>
  <c r="BO264" i="1"/>
  <c r="BP264" i="1"/>
  <c r="BQ264" i="1"/>
  <c r="BR264" i="1"/>
  <c r="BS264" i="1"/>
  <c r="BT264" i="1"/>
  <c r="BU264" i="1"/>
  <c r="BV264" i="1"/>
  <c r="BW264" i="1"/>
  <c r="BX264" i="1"/>
  <c r="BY264" i="1"/>
  <c r="BZ264" i="1"/>
  <c r="CA264" i="1"/>
  <c r="CB264" i="1"/>
  <c r="CC264" i="1"/>
  <c r="AE263" i="1"/>
  <c r="AE264" i="1" s="1"/>
  <c r="AE265" i="1" s="1"/>
  <c r="AM264" i="1"/>
  <c r="AM265" i="1" s="1"/>
  <c r="AP264" i="1"/>
  <c r="AP265" i="1" s="1"/>
  <c r="AL264" i="1"/>
  <c r="AL265" i="1" s="1"/>
  <c r="AN264" i="1"/>
  <c r="AN265" i="1" s="1"/>
  <c r="AJ264" i="1"/>
  <c r="AK264" i="1" s="1"/>
  <c r="BF264" i="1"/>
  <c r="BF265" i="1" s="1"/>
  <c r="BI265" i="1" s="1"/>
  <c r="BM265" i="1"/>
  <c r="BN265" i="1"/>
  <c r="BO265" i="1"/>
  <c r="BP265" i="1"/>
  <c r="BQ265" i="1"/>
  <c r="BR265" i="1"/>
  <c r="BS265" i="1"/>
  <c r="BT265" i="1"/>
  <c r="BU265" i="1"/>
  <c r="BV265" i="1"/>
  <c r="BW265" i="1"/>
  <c r="BX265" i="1"/>
  <c r="BY265" i="1"/>
  <c r="BZ265" i="1"/>
  <c r="CA265" i="1"/>
  <c r="CB265" i="1"/>
  <c r="CC265" i="1"/>
  <c r="AH98" i="1"/>
  <c r="AH99" i="1" s="1"/>
  <c r="AH100" i="1" s="1"/>
  <c r="AH101" i="1" s="1"/>
  <c r="AH102" i="1" s="1"/>
  <c r="AH48" i="1"/>
  <c r="AH49" i="1" s="1"/>
  <c r="AH50" i="1" s="1"/>
  <c r="AH51" i="1" s="1"/>
  <c r="AH52" i="1" s="1"/>
  <c r="AH53" i="1" s="1"/>
  <c r="AH54" i="1" s="1"/>
  <c r="AH55" i="1" s="1"/>
  <c r="AH104" i="1"/>
  <c r="AH105" i="1" s="1"/>
  <c r="AH106" i="1" s="1"/>
  <c r="AH107" i="1" s="1"/>
  <c r="AH136" i="1"/>
  <c r="AH137" i="1" s="1"/>
  <c r="AH138" i="1" s="1"/>
  <c r="AH139" i="1" s="1"/>
  <c r="AH140" i="1" s="1"/>
  <c r="AH32" i="1"/>
  <c r="AH33" i="1" s="1"/>
  <c r="AH34" i="1" s="1"/>
  <c r="AH35" i="1" s="1"/>
  <c r="AH36" i="1" s="1"/>
  <c r="AH146" i="1"/>
  <c r="AH147" i="1" s="1"/>
  <c r="AH148" i="1" s="1"/>
  <c r="AH149" i="1" s="1"/>
  <c r="AH150" i="1" s="1"/>
  <c r="AH151" i="1" s="1"/>
  <c r="AH152" i="1" s="1"/>
  <c r="AH155" i="1"/>
  <c r="AH156" i="1" s="1"/>
  <c r="AH157" i="1" s="1"/>
  <c r="AH158" i="1" s="1"/>
  <c r="AH159" i="1" s="1"/>
  <c r="AH160" i="1" s="1"/>
  <c r="AH161" i="1" s="1"/>
  <c r="AH162" i="1" s="1"/>
  <c r="AH165" i="1"/>
  <c r="AH166" i="1" s="1"/>
  <c r="AH167" i="1" s="1"/>
  <c r="AH168" i="1" s="1"/>
  <c r="AH174" i="1"/>
  <c r="AH175" i="1" s="1"/>
  <c r="AH176" i="1" s="1"/>
  <c r="AH177" i="1" s="1"/>
  <c r="AH178" i="1" s="1"/>
  <c r="AH179" i="1" s="1"/>
  <c r="AH181" i="1"/>
  <c r="AH182" i="1" s="1"/>
  <c r="AH183" i="1" s="1"/>
  <c r="AH184" i="1" s="1"/>
  <c r="AH185" i="1" s="1"/>
  <c r="AH187" i="1"/>
  <c r="AH188" i="1" s="1"/>
  <c r="AH189" i="1" s="1"/>
  <c r="AH190" i="1" s="1"/>
  <c r="AH191" i="1" s="1"/>
  <c r="AH192" i="1" s="1"/>
  <c r="AH199" i="1"/>
  <c r="AH200" i="1" s="1"/>
  <c r="AH201" i="1" s="1"/>
  <c r="AH202" i="1" s="1"/>
  <c r="AH194" i="1"/>
  <c r="AH195" i="1" s="1"/>
  <c r="AH196" i="1" s="1"/>
  <c r="AH197" i="1" s="1"/>
  <c r="AH247" i="1"/>
  <c r="AH248" i="1" s="1"/>
  <c r="AH244" i="1"/>
  <c r="AH245" i="1" s="1"/>
  <c r="AH239" i="1"/>
  <c r="AH240" i="1" s="1"/>
  <c r="AH254" i="1"/>
  <c r="AH255" i="1" s="1"/>
  <c r="AH261" i="1"/>
  <c r="AH262" i="1" s="1"/>
  <c r="AH264" i="1"/>
  <c r="AH265" i="1" s="1"/>
  <c r="AH257" i="1"/>
  <c r="AH258" i="1" s="1"/>
  <c r="AH259" i="1" s="1"/>
  <c r="AO257" i="1"/>
  <c r="AO258" i="1" s="1"/>
  <c r="AO259" i="1" s="1"/>
  <c r="AQ257" i="1"/>
  <c r="AQ258" i="1" s="1"/>
  <c r="AQ259" i="1" s="1"/>
  <c r="AR257" i="1"/>
  <c r="AR258" i="1" s="1"/>
  <c r="AR259" i="1" s="1"/>
  <c r="AS257" i="1"/>
  <c r="AS258" i="1" s="1"/>
  <c r="AS259" i="1" s="1"/>
  <c r="AT256" i="1"/>
  <c r="AT257" i="1" s="1"/>
  <c r="AT258" i="1" s="1"/>
  <c r="AT259" i="1" s="1"/>
  <c r="AX257" i="1"/>
  <c r="AX258" i="1" s="1"/>
  <c r="AX259" i="1" s="1"/>
  <c r="BG257" i="1"/>
  <c r="BG258" i="1" s="1"/>
  <c r="BG259" i="1" s="1"/>
  <c r="BH257" i="1"/>
  <c r="BH258" i="1" s="1"/>
  <c r="BH259" i="1" s="1"/>
  <c r="AH220" i="1"/>
  <c r="AH221" i="1" s="1"/>
  <c r="AH222" i="1" s="1"/>
  <c r="AH224" i="1"/>
  <c r="AH225" i="1" s="1"/>
  <c r="AH226" i="1" s="1"/>
  <c r="AH227" i="1" s="1"/>
  <c r="AO224" i="1"/>
  <c r="AO225" i="1" s="1"/>
  <c r="AO226" i="1" s="1"/>
  <c r="AO227" i="1" s="1"/>
  <c r="AQ224" i="1"/>
  <c r="AQ225" i="1" s="1"/>
  <c r="AQ226" i="1" s="1"/>
  <c r="AQ227" i="1" s="1"/>
  <c r="AR224" i="1"/>
  <c r="AR225" i="1" s="1"/>
  <c r="AR226" i="1" s="1"/>
  <c r="AR227" i="1" s="1"/>
  <c r="AS224" i="1"/>
  <c r="AS225" i="1" s="1"/>
  <c r="AS226" i="1" s="1"/>
  <c r="AS227" i="1" s="1"/>
  <c r="AT224" i="1"/>
  <c r="AT225" i="1" s="1"/>
  <c r="AT226" i="1" s="1"/>
  <c r="AT227" i="1" s="1"/>
  <c r="AX224" i="1"/>
  <c r="AX225" i="1" s="1"/>
  <c r="AX226" i="1" s="1"/>
  <c r="AX227" i="1" s="1"/>
  <c r="BG224" i="1"/>
  <c r="BG225" i="1" s="1"/>
  <c r="BG226" i="1" s="1"/>
  <c r="BG227" i="1" s="1"/>
  <c r="BH224" i="1"/>
  <c r="BH225" i="1" s="1"/>
  <c r="BH226" i="1" s="1"/>
  <c r="BH227" i="1" s="1"/>
  <c r="AH267" i="1"/>
  <c r="AH268" i="1" s="1"/>
  <c r="AH269" i="1" s="1"/>
  <c r="AH270" i="1" s="1"/>
  <c r="AH271" i="1" s="1"/>
  <c r="AO267" i="1"/>
  <c r="AO268" i="1" s="1"/>
  <c r="AQ267" i="1"/>
  <c r="AQ268" i="1" s="1"/>
  <c r="AQ269" i="1" s="1"/>
  <c r="AQ270" i="1" s="1"/>
  <c r="AQ271" i="1" s="1"/>
  <c r="AR267" i="1"/>
  <c r="AR268" i="1" s="1"/>
  <c r="AR269" i="1" s="1"/>
  <c r="AR270" i="1" s="1"/>
  <c r="AR271" i="1" s="1"/>
  <c r="AS267" i="1"/>
  <c r="AS268" i="1" s="1"/>
  <c r="AS269" i="1" s="1"/>
  <c r="AS270" i="1" s="1"/>
  <c r="AS271" i="1" s="1"/>
  <c r="AT267" i="1"/>
  <c r="AT268" i="1" s="1"/>
  <c r="AT269" i="1" s="1"/>
  <c r="AT270" i="1" s="1"/>
  <c r="AT271" i="1" s="1"/>
  <c r="AX267" i="1"/>
  <c r="AX268" i="1" s="1"/>
  <c r="AX269" i="1" s="1"/>
  <c r="AX270" i="1" s="1"/>
  <c r="AX271" i="1" s="1"/>
  <c r="AH213" i="1"/>
  <c r="AH214" i="1" s="1"/>
  <c r="AH215" i="1" s="1"/>
  <c r="AH216" i="1" s="1"/>
  <c r="AH217" i="1" s="1"/>
  <c r="AH218" i="1" s="1"/>
  <c r="AO213" i="1"/>
  <c r="AO214" i="1" s="1"/>
  <c r="AO215" i="1" s="1"/>
  <c r="AQ213" i="1"/>
  <c r="AQ214" i="1" s="1"/>
  <c r="AQ215" i="1" s="1"/>
  <c r="AQ216" i="1" s="1"/>
  <c r="AQ217" i="1" s="1"/>
  <c r="AQ218" i="1" s="1"/>
  <c r="AR213" i="1"/>
  <c r="AR214" i="1" s="1"/>
  <c r="AR215" i="1" s="1"/>
  <c r="AR216" i="1" s="1"/>
  <c r="AR217" i="1" s="1"/>
  <c r="AR218" i="1" s="1"/>
  <c r="AS213" i="1"/>
  <c r="AS214" i="1" s="1"/>
  <c r="AS215" i="1" s="1"/>
  <c r="AS216" i="1" s="1"/>
  <c r="AS217" i="1" s="1"/>
  <c r="AS218" i="1" s="1"/>
  <c r="AT213" i="1"/>
  <c r="AT214" i="1" s="1"/>
  <c r="AT215" i="1" s="1"/>
  <c r="AT216" i="1" s="1"/>
  <c r="AT217" i="1" s="1"/>
  <c r="AT218" i="1" s="1"/>
  <c r="AX213" i="1"/>
  <c r="AX214" i="1" s="1"/>
  <c r="AX215" i="1" s="1"/>
  <c r="AX216" i="1" s="1"/>
  <c r="AX217" i="1" s="1"/>
  <c r="AX218" i="1" s="1"/>
  <c r="AH42" i="1"/>
  <c r="AH43" i="1" s="1"/>
  <c r="AH44" i="1" s="1"/>
  <c r="AH45" i="1" s="1"/>
  <c r="AH46" i="1" s="1"/>
  <c r="AQ42" i="1"/>
  <c r="AQ43" i="1" s="1"/>
  <c r="AQ44" i="1" s="1"/>
  <c r="AQ45" i="1" s="1"/>
  <c r="AQ46" i="1" s="1"/>
  <c r="AR42" i="1"/>
  <c r="AR43" i="1" s="1"/>
  <c r="AR44" i="1" s="1"/>
  <c r="AR45" i="1" s="1"/>
  <c r="AR46" i="1" s="1"/>
  <c r="AS42" i="1"/>
  <c r="AS43" i="1" s="1"/>
  <c r="AS44" i="1" s="1"/>
  <c r="AS45" i="1" s="1"/>
  <c r="AS46" i="1" s="1"/>
  <c r="AT41" i="1"/>
  <c r="AT42" i="1" s="1"/>
  <c r="AT43" i="1" s="1"/>
  <c r="AT44" i="1" s="1"/>
  <c r="AT45" i="1" s="1"/>
  <c r="AT46" i="1" s="1"/>
  <c r="AX42" i="1"/>
  <c r="AX43" i="1" s="1"/>
  <c r="AX44" i="1" s="1"/>
  <c r="AX45" i="1" s="1"/>
  <c r="AX46" i="1" s="1"/>
  <c r="AH252" i="1"/>
  <c r="AH250" i="1"/>
  <c r="AH242" i="1"/>
  <c r="AH210" i="1"/>
  <c r="AH211" i="1" s="1"/>
  <c r="AH206" i="1"/>
  <c r="AH207" i="1" s="1"/>
  <c r="AH208" i="1" s="1"/>
  <c r="AH232" i="1"/>
  <c r="AH233" i="1" s="1"/>
  <c r="AH234" i="1" s="1"/>
  <c r="AH235" i="1" s="1"/>
  <c r="AH170" i="1"/>
  <c r="AH171" i="1" s="1"/>
  <c r="AH172" i="1" s="1"/>
  <c r="AH38" i="1"/>
  <c r="AH39" i="1" s="1"/>
  <c r="AH40" i="1" s="1"/>
  <c r="AH28" i="1"/>
  <c r="AH29" i="1" s="1"/>
  <c r="AH30" i="1" s="1"/>
  <c r="AH142" i="1"/>
  <c r="AH143" i="1" s="1"/>
  <c r="AH144" i="1" s="1"/>
  <c r="AH132" i="1"/>
  <c r="AH133" i="1" s="1"/>
  <c r="AH134" i="1" s="1"/>
  <c r="AH128" i="1"/>
  <c r="AH129" i="1" s="1"/>
  <c r="AH130" i="1" s="1"/>
  <c r="AH124" i="1"/>
  <c r="AH125" i="1" s="1"/>
  <c r="AH126" i="1" s="1"/>
  <c r="AH120" i="1"/>
  <c r="AH121" i="1" s="1"/>
  <c r="AH122" i="1" s="1"/>
  <c r="AH20" i="1"/>
  <c r="AH21" i="1" s="1"/>
  <c r="AH22" i="1" s="1"/>
  <c r="AH16" i="1"/>
  <c r="AH17" i="1" s="1"/>
  <c r="AH18" i="1" s="1"/>
  <c r="AH113" i="1"/>
  <c r="AH114" i="1" s="1"/>
  <c r="AH109" i="1"/>
  <c r="AH110" i="1" s="1"/>
  <c r="AH111" i="1" s="1"/>
  <c r="AH24" i="1"/>
  <c r="AH25" i="1" s="1"/>
  <c r="AH26" i="1" s="1"/>
  <c r="AH12" i="1"/>
  <c r="AH13" i="1" s="1"/>
  <c r="AH14" i="1" s="1"/>
  <c r="AO12" i="1"/>
  <c r="AO13" i="1" s="1"/>
  <c r="AO14" i="1" s="1"/>
  <c r="FR97" i="1"/>
  <c r="AO98" i="1"/>
  <c r="AO24" i="1"/>
  <c r="AO25" i="1" s="1"/>
  <c r="FR47" i="1"/>
  <c r="AO48" i="1"/>
  <c r="DB48" i="1" s="1"/>
  <c r="DC48" i="1" s="1"/>
  <c r="FR103" i="1"/>
  <c r="AO104" i="1"/>
  <c r="AO105" i="1" s="1"/>
  <c r="FR108" i="1"/>
  <c r="AO109" i="1"/>
  <c r="AO110" i="1" s="1"/>
  <c r="DB110" i="1" s="1"/>
  <c r="DC110" i="1" s="1"/>
  <c r="FR112" i="1"/>
  <c r="AO113" i="1"/>
  <c r="AO114" i="1" s="1"/>
  <c r="FR15" i="1"/>
  <c r="AO16" i="1"/>
  <c r="AO17" i="1" s="1"/>
  <c r="DB17" i="1" s="1"/>
  <c r="DC17" i="1" s="1"/>
  <c r="FR19" i="1"/>
  <c r="AO20" i="1"/>
  <c r="AO21" i="1" s="1"/>
  <c r="AO22" i="1" s="1"/>
  <c r="FR119" i="1"/>
  <c r="AO120" i="1"/>
  <c r="AO121" i="1" s="1"/>
  <c r="FR123" i="1"/>
  <c r="AO124" i="1"/>
  <c r="AO125" i="1" s="1"/>
  <c r="AO126" i="1" s="1"/>
  <c r="FR127" i="1"/>
  <c r="AO128" i="1"/>
  <c r="AO129" i="1" s="1"/>
  <c r="AO130" i="1" s="1"/>
  <c r="FR131" i="1"/>
  <c r="AO132" i="1"/>
  <c r="AO133" i="1" s="1"/>
  <c r="FR135" i="1"/>
  <c r="AO136" i="1"/>
  <c r="AO137" i="1" s="1"/>
  <c r="FR141" i="1"/>
  <c r="AO142" i="1"/>
  <c r="FR27" i="1"/>
  <c r="FR31" i="1"/>
  <c r="FR37" i="1"/>
  <c r="AO38" i="1"/>
  <c r="AO39" i="1" s="1"/>
  <c r="AO40" i="1" s="1"/>
  <c r="FR41" i="1"/>
  <c r="FR145" i="1"/>
  <c r="AO146" i="1"/>
  <c r="AO147" i="1" s="1"/>
  <c r="FR153" i="1"/>
  <c r="FR154" i="1"/>
  <c r="AO155" i="1"/>
  <c r="AO156" i="1" s="1"/>
  <c r="FR163" i="1"/>
  <c r="FR164" i="1"/>
  <c r="AO165" i="1"/>
  <c r="AO166" i="1" s="1"/>
  <c r="AO167" i="1" s="1"/>
  <c r="AO168" i="1" s="1"/>
  <c r="FR169" i="1"/>
  <c r="AO170" i="1"/>
  <c r="AO171" i="1" s="1"/>
  <c r="AO172" i="1" s="1"/>
  <c r="FR173" i="1"/>
  <c r="AO174" i="1"/>
  <c r="DB174" i="1" s="1"/>
  <c r="DC174" i="1" s="1"/>
  <c r="FR180" i="1"/>
  <c r="AO181" i="1"/>
  <c r="AO182" i="1" s="1"/>
  <c r="FR186" i="1"/>
  <c r="AO187" i="1"/>
  <c r="FR193" i="1"/>
  <c r="AO194" i="1"/>
  <c r="AO195" i="1" s="1"/>
  <c r="AO196" i="1" s="1"/>
  <c r="AO197" i="1" s="1"/>
  <c r="FR198" i="1"/>
  <c r="FR203" i="1"/>
  <c r="FR231" i="1"/>
  <c r="FR205" i="1"/>
  <c r="AO206" i="1"/>
  <c r="FR209" i="1"/>
  <c r="AO210" i="1"/>
  <c r="FR212" i="1"/>
  <c r="FR219" i="1"/>
  <c r="AO220" i="1"/>
  <c r="AO221" i="1" s="1"/>
  <c r="FR223" i="1"/>
  <c r="FR236" i="1"/>
  <c r="FR266" i="1"/>
  <c r="FR237" i="1"/>
  <c r="FR238" i="1"/>
  <c r="AO239" i="1"/>
  <c r="AO240" i="1" s="1"/>
  <c r="FR241" i="1"/>
  <c r="AO242" i="1"/>
  <c r="FR243" i="1"/>
  <c r="AO244" i="1"/>
  <c r="AO245" i="1" s="1"/>
  <c r="FR246" i="1"/>
  <c r="AO247" i="1"/>
  <c r="FR249" i="1"/>
  <c r="AO250" i="1"/>
  <c r="FR251" i="1"/>
  <c r="AO252" i="1"/>
  <c r="FR253" i="1"/>
  <c r="AO254" i="1"/>
  <c r="FR256" i="1"/>
  <c r="FR66" i="1"/>
  <c r="AO67" i="1"/>
  <c r="FR260" i="1"/>
  <c r="AO261" i="1"/>
  <c r="AO262" i="1" s="1"/>
  <c r="FR263" i="1"/>
  <c r="AO264" i="1"/>
  <c r="AO265" i="1" s="1"/>
  <c r="CU252" i="1"/>
  <c r="CS252" i="1"/>
  <c r="CR252" i="1" s="1"/>
  <c r="J252" i="1"/>
  <c r="BH252" i="1"/>
  <c r="BG252" i="1"/>
  <c r="AX252" i="1"/>
  <c r="AT252" i="1"/>
  <c r="AS252" i="1"/>
  <c r="AR252" i="1"/>
  <c r="AQ252" i="1"/>
  <c r="I252" i="1"/>
  <c r="C252" i="1"/>
  <c r="FK251" i="1"/>
  <c r="FJ251" i="1"/>
  <c r="FD251" i="1"/>
  <c r="FC251" i="1"/>
  <c r="EX251" i="1"/>
  <c r="EW251" i="1"/>
  <c r="EQ251" i="1"/>
  <c r="EK251" i="1"/>
  <c r="EE251" i="1"/>
  <c r="DZ251" i="1"/>
  <c r="DU251" i="1"/>
  <c r="DT251" i="1"/>
  <c r="DS251" i="1"/>
  <c r="DR251" i="1"/>
  <c r="DP251" i="1"/>
  <c r="DO251" i="1"/>
  <c r="DF251" i="1"/>
  <c r="DE251" i="1"/>
  <c r="DB251" i="1"/>
  <c r="DC251" i="1" s="1"/>
  <c r="DA251" i="1"/>
  <c r="CT251" i="1"/>
  <c r="CR251" i="1"/>
  <c r="CQ251" i="1"/>
  <c r="CP251" i="1"/>
  <c r="CO251" i="1"/>
  <c r="CF251" i="1"/>
  <c r="BT251" i="1"/>
  <c r="BN251" i="1"/>
  <c r="BI251" i="1"/>
  <c r="AZ251" i="1"/>
  <c r="AY251" i="1"/>
  <c r="AK251" i="1"/>
  <c r="I251" i="1"/>
  <c r="B251" i="1"/>
  <c r="CT68" i="1"/>
  <c r="CR68" i="1"/>
  <c r="J68" i="1"/>
  <c r="AX67" i="1"/>
  <c r="AX68" i="1" s="1"/>
  <c r="AT67" i="1"/>
  <c r="AT68" i="1" s="1"/>
  <c r="AS67" i="1"/>
  <c r="AS68" i="1" s="1"/>
  <c r="AR67" i="1"/>
  <c r="AR68" i="1" s="1"/>
  <c r="AQ67" i="1"/>
  <c r="AQ68" i="1" s="1"/>
  <c r="I68" i="1"/>
  <c r="C68" i="1"/>
  <c r="CU67" i="1"/>
  <c r="CS67" i="1"/>
  <c r="CR67" i="1" s="1"/>
  <c r="J67" i="1"/>
  <c r="I67" i="1"/>
  <c r="C67" i="1"/>
  <c r="FK66" i="1"/>
  <c r="FJ66" i="1"/>
  <c r="FD66" i="1"/>
  <c r="FC66" i="1"/>
  <c r="EX66" i="1"/>
  <c r="EW66" i="1"/>
  <c r="EQ66" i="1"/>
  <c r="EK66" i="1"/>
  <c r="EE66" i="1"/>
  <c r="DZ66" i="1"/>
  <c r="DU66" i="1"/>
  <c r="DT66" i="1"/>
  <c r="DS66" i="1"/>
  <c r="DR66" i="1"/>
  <c r="DP66" i="1"/>
  <c r="DO66" i="1"/>
  <c r="DF66" i="1"/>
  <c r="DE66" i="1"/>
  <c r="DB66" i="1"/>
  <c r="DC66" i="1" s="1"/>
  <c r="DA66" i="1"/>
  <c r="CT66" i="1"/>
  <c r="CR66" i="1"/>
  <c r="CQ66" i="1"/>
  <c r="CP66" i="1"/>
  <c r="CO66" i="1"/>
  <c r="CF66" i="1"/>
  <c r="BT66" i="1"/>
  <c r="BN66" i="1"/>
  <c r="BI66" i="1"/>
  <c r="AZ66" i="1"/>
  <c r="AY66" i="1"/>
  <c r="AK66" i="1"/>
  <c r="I66" i="1"/>
  <c r="B66" i="1"/>
  <c r="FK265" i="1"/>
  <c r="FD265" i="1"/>
  <c r="EX265" i="1"/>
  <c r="DU265" i="1"/>
  <c r="DS265" i="1"/>
  <c r="DF265" i="1"/>
  <c r="CT265" i="1"/>
  <c r="CR265" i="1"/>
  <c r="J265" i="1"/>
  <c r="BH264" i="1"/>
  <c r="BH265" i="1" s="1"/>
  <c r="BG264" i="1"/>
  <c r="BG265" i="1" s="1"/>
  <c r="AX264" i="1"/>
  <c r="AX265" i="1" s="1"/>
  <c r="AT263" i="1"/>
  <c r="AT264" i="1" s="1"/>
  <c r="AT265" i="1" s="1"/>
  <c r="AS264" i="1"/>
  <c r="AS265" i="1" s="1"/>
  <c r="AR264" i="1"/>
  <c r="AR265" i="1" s="1"/>
  <c r="AQ264" i="1"/>
  <c r="AQ265" i="1" s="1"/>
  <c r="I265" i="1"/>
  <c r="C265" i="1"/>
  <c r="CU264" i="1"/>
  <c r="CS264" i="1"/>
  <c r="CR264" i="1" s="1"/>
  <c r="J264" i="1"/>
  <c r="I264" i="1"/>
  <c r="C264" i="1"/>
  <c r="FK263" i="1"/>
  <c r="FJ263" i="1"/>
  <c r="FD263" i="1"/>
  <c r="FC263" i="1"/>
  <c r="EX263" i="1"/>
  <c r="EW263" i="1"/>
  <c r="EQ263" i="1"/>
  <c r="EK263" i="1"/>
  <c r="EE263" i="1"/>
  <c r="DZ263" i="1"/>
  <c r="DU263" i="1"/>
  <c r="DT263" i="1"/>
  <c r="DS263" i="1"/>
  <c r="DR263" i="1"/>
  <c r="DP263" i="1"/>
  <c r="DO263" i="1"/>
  <c r="DF263" i="1"/>
  <c r="DE263" i="1"/>
  <c r="DB263" i="1"/>
  <c r="DC263" i="1" s="1"/>
  <c r="DA263" i="1"/>
  <c r="CT263" i="1"/>
  <c r="CR263" i="1"/>
  <c r="CQ263" i="1"/>
  <c r="CP263" i="1"/>
  <c r="CO263" i="1"/>
  <c r="CF263" i="1"/>
  <c r="BT263" i="1"/>
  <c r="BN263" i="1"/>
  <c r="BI263" i="1"/>
  <c r="BE263" i="1"/>
  <c r="BB263" i="1"/>
  <c r="AZ263" i="1"/>
  <c r="AY263" i="1"/>
  <c r="AK263" i="1"/>
  <c r="I263" i="1"/>
  <c r="B263" i="1"/>
  <c r="FK255" i="1"/>
  <c r="FD255" i="1"/>
  <c r="EX255" i="1"/>
  <c r="DU255" i="1"/>
  <c r="DS255" i="1"/>
  <c r="DF255" i="1"/>
  <c r="AM255" i="1"/>
  <c r="CT255" i="1"/>
  <c r="CR255" i="1"/>
  <c r="J255" i="1"/>
  <c r="BH254" i="1"/>
  <c r="BH255" i="1" s="1"/>
  <c r="BG254" i="1"/>
  <c r="BG255" i="1" s="1"/>
  <c r="AX254" i="1"/>
  <c r="AX255" i="1" s="1"/>
  <c r="AT253" i="1"/>
  <c r="AT254" i="1" s="1"/>
  <c r="AT255" i="1" s="1"/>
  <c r="AS254" i="1"/>
  <c r="AS255" i="1" s="1"/>
  <c r="AR254" i="1"/>
  <c r="AR255" i="1" s="1"/>
  <c r="AQ254" i="1"/>
  <c r="AQ255" i="1" s="1"/>
  <c r="I255" i="1"/>
  <c r="C254" i="1"/>
  <c r="C255" i="1" s="1"/>
  <c r="FK254" i="1"/>
  <c r="FD254" i="1"/>
  <c r="EX254" i="1"/>
  <c r="DU254" i="1"/>
  <c r="DS254" i="1"/>
  <c r="DF254" i="1"/>
  <c r="CU254" i="1"/>
  <c r="CS254" i="1"/>
  <c r="CR254" i="1" s="1"/>
  <c r="J254" i="1"/>
  <c r="I254" i="1"/>
  <c r="FK253" i="1"/>
  <c r="FJ253" i="1"/>
  <c r="FD253" i="1"/>
  <c r="FC253" i="1"/>
  <c r="EX253" i="1"/>
  <c r="EW253" i="1"/>
  <c r="EQ253" i="1"/>
  <c r="EK253" i="1"/>
  <c r="EE253" i="1"/>
  <c r="DZ253" i="1"/>
  <c r="DU253" i="1"/>
  <c r="DT253" i="1"/>
  <c r="DS253" i="1"/>
  <c r="DR253" i="1"/>
  <c r="DP253" i="1"/>
  <c r="DO253" i="1"/>
  <c r="DF253" i="1"/>
  <c r="DE253" i="1"/>
  <c r="DB253" i="1"/>
  <c r="DC253" i="1" s="1"/>
  <c r="DA253" i="1"/>
  <c r="CT253" i="1"/>
  <c r="CR253" i="1"/>
  <c r="CQ253" i="1"/>
  <c r="CP253" i="1"/>
  <c r="CO253" i="1"/>
  <c r="CF253" i="1"/>
  <c r="CA253" i="1"/>
  <c r="BT253" i="1"/>
  <c r="BN253" i="1"/>
  <c r="BI253" i="1"/>
  <c r="AZ253" i="1"/>
  <c r="AY253" i="1"/>
  <c r="AK253" i="1"/>
  <c r="I253" i="1"/>
  <c r="B253" i="1"/>
  <c r="FK248" i="1"/>
  <c r="FD248" i="1"/>
  <c r="EX248" i="1"/>
  <c r="DU248" i="1"/>
  <c r="DS248" i="1"/>
  <c r="DF248" i="1"/>
  <c r="CT248" i="1"/>
  <c r="CR248" i="1"/>
  <c r="J248" i="1"/>
  <c r="BH247" i="1"/>
  <c r="BH248" i="1" s="1"/>
  <c r="BG247" i="1"/>
  <c r="BG248" i="1" s="1"/>
  <c r="AX247" i="1"/>
  <c r="AX248" i="1" s="1"/>
  <c r="AT246" i="1"/>
  <c r="AT247" i="1" s="1"/>
  <c r="AT248" i="1" s="1"/>
  <c r="AS247" i="1"/>
  <c r="AS248" i="1" s="1"/>
  <c r="AR247" i="1"/>
  <c r="AR248" i="1" s="1"/>
  <c r="AQ247" i="1"/>
  <c r="AQ248" i="1" s="1"/>
  <c r="I248" i="1"/>
  <c r="C247" i="1"/>
  <c r="C248" i="1" s="1"/>
  <c r="FK247" i="1"/>
  <c r="FD247" i="1"/>
  <c r="EX247" i="1"/>
  <c r="DU247" i="1"/>
  <c r="DS247" i="1"/>
  <c r="DF247" i="1"/>
  <c r="CU247" i="1"/>
  <c r="CS247" i="1"/>
  <c r="CR247" i="1" s="1"/>
  <c r="J247" i="1"/>
  <c r="I247" i="1"/>
  <c r="FK246" i="1"/>
  <c r="FJ246" i="1"/>
  <c r="FD246" i="1"/>
  <c r="FC246" i="1"/>
  <c r="EX246" i="1"/>
  <c r="EW246" i="1"/>
  <c r="EQ246" i="1"/>
  <c r="EK246" i="1"/>
  <c r="EE246" i="1"/>
  <c r="DZ246" i="1"/>
  <c r="DU246" i="1"/>
  <c r="DT246" i="1"/>
  <c r="DS246" i="1"/>
  <c r="DR246" i="1"/>
  <c r="DP246" i="1"/>
  <c r="DO246" i="1"/>
  <c r="DF246" i="1"/>
  <c r="DE246" i="1"/>
  <c r="DB246" i="1"/>
  <c r="DC246" i="1" s="1"/>
  <c r="DA246" i="1"/>
  <c r="CT246" i="1"/>
  <c r="CR246" i="1"/>
  <c r="CQ246" i="1"/>
  <c r="CP246" i="1"/>
  <c r="CO246" i="1"/>
  <c r="CF246" i="1"/>
  <c r="CA246" i="1"/>
  <c r="BT246" i="1"/>
  <c r="BN246" i="1"/>
  <c r="BI246" i="1"/>
  <c r="BE246" i="1"/>
  <c r="AZ246" i="1"/>
  <c r="AY246" i="1"/>
  <c r="AK246" i="1"/>
  <c r="I246" i="1"/>
  <c r="B246" i="1"/>
  <c r="CA260" i="1"/>
  <c r="BH261" i="1"/>
  <c r="BH262" i="1" s="1"/>
  <c r="BG261" i="1"/>
  <c r="BG262" i="1" s="1"/>
  <c r="AX261" i="1"/>
  <c r="AX262" i="1" s="1"/>
  <c r="AT260" i="1"/>
  <c r="AS261" i="1"/>
  <c r="AS262" i="1" s="1"/>
  <c r="AR261" i="1"/>
  <c r="AR262" i="1" s="1"/>
  <c r="AQ261" i="1"/>
  <c r="AQ262" i="1" s="1"/>
  <c r="C261" i="1"/>
  <c r="C262" i="1" s="1"/>
  <c r="FK262" i="1"/>
  <c r="FD262" i="1"/>
  <c r="EX262" i="1"/>
  <c r="DU262" i="1"/>
  <c r="DS262" i="1"/>
  <c r="DF262" i="1"/>
  <c r="CT262" i="1"/>
  <c r="CR262" i="1"/>
  <c r="J262" i="1"/>
  <c r="I262" i="1"/>
  <c r="FK261" i="1"/>
  <c r="FD261" i="1"/>
  <c r="EX261" i="1"/>
  <c r="DU261" i="1"/>
  <c r="DS261" i="1"/>
  <c r="DF261" i="1"/>
  <c r="CU261" i="1"/>
  <c r="CS261" i="1"/>
  <c r="CR261" i="1" s="1"/>
  <c r="J261" i="1"/>
  <c r="I261" i="1"/>
  <c r="FK260" i="1"/>
  <c r="FJ260" i="1"/>
  <c r="FD260" i="1"/>
  <c r="FC260" i="1"/>
  <c r="EX260" i="1"/>
  <c r="EW260" i="1"/>
  <c r="EQ260" i="1"/>
  <c r="EK260" i="1"/>
  <c r="EE260" i="1"/>
  <c r="DZ260" i="1"/>
  <c r="DU260" i="1"/>
  <c r="DT260" i="1"/>
  <c r="DS260" i="1"/>
  <c r="DR260" i="1"/>
  <c r="DP260" i="1"/>
  <c r="DO260" i="1"/>
  <c r="DF260" i="1"/>
  <c r="DE260" i="1"/>
  <c r="DB260" i="1"/>
  <c r="DC260" i="1" s="1"/>
  <c r="DA260" i="1"/>
  <c r="CT260" i="1"/>
  <c r="CR260" i="1"/>
  <c r="CQ260" i="1"/>
  <c r="CP260" i="1"/>
  <c r="CO260" i="1"/>
  <c r="CF260" i="1"/>
  <c r="BT260" i="1"/>
  <c r="BN260" i="1"/>
  <c r="BI260" i="1"/>
  <c r="BD260" i="1"/>
  <c r="AZ260" i="1"/>
  <c r="AY260" i="1"/>
  <c r="AK260" i="1"/>
  <c r="I260" i="1"/>
  <c r="B260" i="1"/>
  <c r="AK11" i="1"/>
  <c r="AK97" i="1"/>
  <c r="AK47" i="1"/>
  <c r="AK103" i="1"/>
  <c r="AK108" i="1"/>
  <c r="AK112" i="1"/>
  <c r="AK15" i="1"/>
  <c r="AK119" i="1"/>
  <c r="AK123" i="1"/>
  <c r="AK127" i="1"/>
  <c r="AK131" i="1"/>
  <c r="AK135" i="1"/>
  <c r="AK141" i="1"/>
  <c r="AK27" i="1"/>
  <c r="AK31" i="1"/>
  <c r="AK37" i="1"/>
  <c r="AK41" i="1"/>
  <c r="AK145" i="1"/>
  <c r="AK153" i="1"/>
  <c r="AK154" i="1"/>
  <c r="AK163" i="1"/>
  <c r="AK164" i="1"/>
  <c r="AK169" i="1"/>
  <c r="AK173" i="1"/>
  <c r="AK180" i="1"/>
  <c r="AK186" i="1"/>
  <c r="AK193" i="1"/>
  <c r="AK198" i="1"/>
  <c r="AK238" i="1"/>
  <c r="AK241" i="1"/>
  <c r="AK243" i="1"/>
  <c r="AK249" i="1"/>
  <c r="AK256" i="1"/>
  <c r="AK266" i="1"/>
  <c r="AK205" i="1"/>
  <c r="AK209" i="1"/>
  <c r="AK212" i="1"/>
  <c r="AK219" i="1"/>
  <c r="AK223" i="1"/>
  <c r="AK231" i="1"/>
  <c r="AJ232" i="1"/>
  <c r="AJ233" i="1" s="1"/>
  <c r="AJ234" i="1" s="1"/>
  <c r="AJ199" i="1"/>
  <c r="AK199" i="1" s="1"/>
  <c r="B163" i="1"/>
  <c r="I163" i="1"/>
  <c r="AY163" i="1"/>
  <c r="AZ163" i="1"/>
  <c r="BI163" i="1"/>
  <c r="BN163" i="1"/>
  <c r="BT163" i="1"/>
  <c r="CF163" i="1"/>
  <c r="CO163" i="1"/>
  <c r="CP163" i="1"/>
  <c r="CQ163" i="1"/>
  <c r="DA163" i="1"/>
  <c r="DB163" i="1"/>
  <c r="DC163" i="1" s="1"/>
  <c r="DE163" i="1"/>
  <c r="DF163" i="1"/>
  <c r="DO163" i="1"/>
  <c r="DP163" i="1"/>
  <c r="DR163" i="1"/>
  <c r="DS163" i="1"/>
  <c r="DT163" i="1"/>
  <c r="DU163" i="1"/>
  <c r="DZ163" i="1"/>
  <c r="EE163" i="1"/>
  <c r="EK163" i="1"/>
  <c r="EQ163" i="1"/>
  <c r="EW163" i="1"/>
  <c r="EX163" i="1"/>
  <c r="FC163" i="1"/>
  <c r="FD163" i="1"/>
  <c r="FJ163" i="1"/>
  <c r="FK163" i="1"/>
  <c r="BR141" i="1"/>
  <c r="FK144" i="1"/>
  <c r="FD144" i="1"/>
  <c r="EX144" i="1"/>
  <c r="DU144" i="1"/>
  <c r="DS144" i="1"/>
  <c r="DF144" i="1"/>
  <c r="CT144" i="1"/>
  <c r="CR144" i="1"/>
  <c r="J144" i="1"/>
  <c r="CF144" i="1" s="1"/>
  <c r="I144" i="1"/>
  <c r="FK143" i="1"/>
  <c r="FD143" i="1"/>
  <c r="EX143" i="1"/>
  <c r="DU143" i="1"/>
  <c r="DS143" i="1"/>
  <c r="DF143" i="1"/>
  <c r="CT143" i="1"/>
  <c r="CR143" i="1"/>
  <c r="J143" i="1"/>
  <c r="CF143" i="1" s="1"/>
  <c r="I143" i="1"/>
  <c r="FK142" i="1"/>
  <c r="FD142" i="1"/>
  <c r="EX142" i="1"/>
  <c r="DU142" i="1"/>
  <c r="DS142" i="1"/>
  <c r="DF142" i="1"/>
  <c r="CU142" i="1"/>
  <c r="CT142" i="1" s="1"/>
  <c r="CS142" i="1"/>
  <c r="CR142" i="1" s="1"/>
  <c r="BH142" i="1"/>
  <c r="BH143" i="1" s="1"/>
  <c r="BH144" i="1" s="1"/>
  <c r="BG142" i="1"/>
  <c r="BG143" i="1" s="1"/>
  <c r="BG144" i="1" s="1"/>
  <c r="AX142" i="1"/>
  <c r="AX143" i="1" s="1"/>
  <c r="AX144" i="1" s="1"/>
  <c r="AS142" i="1"/>
  <c r="AS143" i="1" s="1"/>
  <c r="AS144" i="1" s="1"/>
  <c r="AR142" i="1"/>
  <c r="AR143" i="1" s="1"/>
  <c r="AR144" i="1" s="1"/>
  <c r="AQ142" i="1"/>
  <c r="AQ143" i="1" s="1"/>
  <c r="AQ144" i="1" s="1"/>
  <c r="J142" i="1"/>
  <c r="CF142" i="1" s="1"/>
  <c r="I142" i="1"/>
  <c r="C142" i="1"/>
  <c r="C143" i="1" s="1"/>
  <c r="C144" i="1" s="1"/>
  <c r="FK141" i="1"/>
  <c r="FJ141" i="1"/>
  <c r="FD141" i="1"/>
  <c r="FC141" i="1"/>
  <c r="EX141" i="1"/>
  <c r="EW141" i="1"/>
  <c r="EQ141" i="1"/>
  <c r="EK141" i="1"/>
  <c r="EE141" i="1"/>
  <c r="DZ141" i="1"/>
  <c r="DU141" i="1"/>
  <c r="DT141" i="1"/>
  <c r="DS141" i="1"/>
  <c r="DR141" i="1"/>
  <c r="DP141" i="1"/>
  <c r="DO141" i="1"/>
  <c r="DF141" i="1"/>
  <c r="DE141" i="1"/>
  <c r="DB141" i="1"/>
  <c r="DC141" i="1" s="1"/>
  <c r="DA141" i="1"/>
  <c r="CT141" i="1"/>
  <c r="CR141" i="1"/>
  <c r="CQ141" i="1"/>
  <c r="CP141" i="1"/>
  <c r="CO141" i="1"/>
  <c r="CF141" i="1"/>
  <c r="BT141" i="1"/>
  <c r="BN141" i="1"/>
  <c r="BI141" i="1"/>
  <c r="AZ141" i="1"/>
  <c r="AY141" i="1"/>
  <c r="AT141" i="1"/>
  <c r="AT142" i="1" s="1"/>
  <c r="AT143" i="1" s="1"/>
  <c r="AT144" i="1" s="1"/>
  <c r="I141" i="1"/>
  <c r="B141" i="1"/>
  <c r="BI249" i="1"/>
  <c r="BI256" i="1"/>
  <c r="BI266" i="1"/>
  <c r="BI205" i="1"/>
  <c r="BI209" i="1"/>
  <c r="BI212" i="1"/>
  <c r="BI219" i="1"/>
  <c r="BI223" i="1"/>
  <c r="BI231" i="1"/>
  <c r="BI238" i="1"/>
  <c r="BI241" i="1"/>
  <c r="BI243" i="1"/>
  <c r="BI11" i="1"/>
  <c r="BI97" i="1"/>
  <c r="BI23" i="1"/>
  <c r="BI47" i="1"/>
  <c r="BI103" i="1"/>
  <c r="BI108" i="1"/>
  <c r="BI112" i="1"/>
  <c r="BI15" i="1"/>
  <c r="BI19" i="1"/>
  <c r="BI119" i="1"/>
  <c r="BI123" i="1"/>
  <c r="BI127" i="1"/>
  <c r="BI131" i="1"/>
  <c r="BI135" i="1"/>
  <c r="BI27" i="1"/>
  <c r="BI31" i="1"/>
  <c r="BI37" i="1"/>
  <c r="BI41" i="1"/>
  <c r="BI145" i="1"/>
  <c r="BI153" i="1"/>
  <c r="BI154" i="1"/>
  <c r="BI164" i="1"/>
  <c r="BI169" i="1"/>
  <c r="BI173" i="1"/>
  <c r="BI180" i="1"/>
  <c r="BI186" i="1"/>
  <c r="BI193" i="1"/>
  <c r="BI198" i="1"/>
  <c r="FK111" i="1"/>
  <c r="FD111" i="1"/>
  <c r="EX111" i="1"/>
  <c r="DU111" i="1"/>
  <c r="DS111" i="1"/>
  <c r="DF111" i="1"/>
  <c r="CT111" i="1"/>
  <c r="CR111" i="1"/>
  <c r="J111" i="1"/>
  <c r="I111" i="1"/>
  <c r="FK110" i="1"/>
  <c r="FD110" i="1"/>
  <c r="EX110" i="1"/>
  <c r="DU110" i="1"/>
  <c r="DS110" i="1"/>
  <c r="DF110" i="1"/>
  <c r="CT110" i="1"/>
  <c r="CR110" i="1"/>
  <c r="J110" i="1"/>
  <c r="CF110" i="1" s="1"/>
  <c r="I110" i="1"/>
  <c r="C110" i="1"/>
  <c r="CU109" i="1"/>
  <c r="CS109" i="1"/>
  <c r="BH109" i="1"/>
  <c r="BH110" i="1" s="1"/>
  <c r="BH111" i="1" s="1"/>
  <c r="BG109" i="1"/>
  <c r="BG110" i="1" s="1"/>
  <c r="BG111" i="1" s="1"/>
  <c r="AX109" i="1"/>
  <c r="AX110" i="1" s="1"/>
  <c r="AX111" i="1" s="1"/>
  <c r="AS109" i="1"/>
  <c r="AS110" i="1" s="1"/>
  <c r="AS111" i="1" s="1"/>
  <c r="AR109" i="1"/>
  <c r="AR110" i="1" s="1"/>
  <c r="AR111" i="1" s="1"/>
  <c r="AQ109" i="1"/>
  <c r="AQ110" i="1" s="1"/>
  <c r="AQ111" i="1" s="1"/>
  <c r="J109" i="1"/>
  <c r="CF109" i="1" s="1"/>
  <c r="I109" i="1"/>
  <c r="C109" i="1"/>
  <c r="C111" i="1" s="1"/>
  <c r="FK108" i="1"/>
  <c r="FJ108" i="1"/>
  <c r="FD108" i="1"/>
  <c r="FC108" i="1"/>
  <c r="EX108" i="1"/>
  <c r="EW108" i="1"/>
  <c r="EQ108" i="1"/>
  <c r="EK108" i="1"/>
  <c r="EE108" i="1"/>
  <c r="DZ108" i="1"/>
  <c r="DT108" i="1"/>
  <c r="DR108" i="1"/>
  <c r="DP108" i="1"/>
  <c r="DO108" i="1"/>
  <c r="DM108" i="1"/>
  <c r="DL108" i="1"/>
  <c r="DK108" i="1"/>
  <c r="DJ108" i="1"/>
  <c r="DI108" i="1"/>
  <c r="DH108" i="1"/>
  <c r="DG108" i="1" s="1"/>
  <c r="DF108" i="1"/>
  <c r="DE108" i="1"/>
  <c r="DB108" i="1"/>
  <c r="DC108" i="1" s="1"/>
  <c r="DA108" i="1"/>
  <c r="CQ108" i="1"/>
  <c r="CP108" i="1"/>
  <c r="CO108" i="1"/>
  <c r="CF108" i="1"/>
  <c r="BT108" i="1"/>
  <c r="BN108" i="1"/>
  <c r="AZ108" i="1"/>
  <c r="AY108" i="1"/>
  <c r="AT108" i="1"/>
  <c r="AT109" i="1" s="1"/>
  <c r="AT110" i="1" s="1"/>
  <c r="AT111" i="1" s="1"/>
  <c r="I108" i="1"/>
  <c r="B108" i="1"/>
  <c r="AX250" i="1"/>
  <c r="AS250" i="1"/>
  <c r="AX220" i="1"/>
  <c r="AX221" i="1" s="1"/>
  <c r="AX222" i="1" s="1"/>
  <c r="AS220" i="1"/>
  <c r="AS221" i="1" s="1"/>
  <c r="AS222" i="1" s="1"/>
  <c r="AX210" i="1"/>
  <c r="AX211" i="1" s="1"/>
  <c r="AS210" i="1"/>
  <c r="AS211" i="1" s="1"/>
  <c r="AX206" i="1"/>
  <c r="AX207" i="1" s="1"/>
  <c r="AX208" i="1" s="1"/>
  <c r="AT206" i="1"/>
  <c r="AT207" i="1" s="1"/>
  <c r="AT208" i="1" s="1"/>
  <c r="AS206" i="1"/>
  <c r="AS207" i="1" s="1"/>
  <c r="AS208" i="1" s="1"/>
  <c r="AX232" i="1"/>
  <c r="AX233" i="1" s="1"/>
  <c r="AX234" i="1" s="1"/>
  <c r="AX235" i="1" s="1"/>
  <c r="AS232" i="1"/>
  <c r="AS233" i="1" s="1"/>
  <c r="AS234" i="1" s="1"/>
  <c r="AS235" i="1" s="1"/>
  <c r="AX244" i="1"/>
  <c r="AX245" i="1" s="1"/>
  <c r="AS244" i="1"/>
  <c r="AS245" i="1" s="1"/>
  <c r="AX242" i="1"/>
  <c r="AS242" i="1"/>
  <c r="AX239" i="1"/>
  <c r="AX240" i="1" s="1"/>
  <c r="AT239" i="1"/>
  <c r="AT240" i="1" s="1"/>
  <c r="AS239" i="1"/>
  <c r="AS240" i="1" s="1"/>
  <c r="AX199" i="1"/>
  <c r="AX200" i="1" s="1"/>
  <c r="AX201" i="1" s="1"/>
  <c r="AX202" i="1" s="1"/>
  <c r="AS199" i="1"/>
  <c r="AS200" i="1" s="1"/>
  <c r="AS201" i="1" s="1"/>
  <c r="AS202" i="1" s="1"/>
  <c r="AX194" i="1"/>
  <c r="AX195" i="1" s="1"/>
  <c r="AX196" i="1" s="1"/>
  <c r="AX197" i="1" s="1"/>
  <c r="AS194" i="1"/>
  <c r="AS195" i="1" s="1"/>
  <c r="AS196" i="1" s="1"/>
  <c r="AS197" i="1" s="1"/>
  <c r="AX187" i="1"/>
  <c r="AX188" i="1" s="1"/>
  <c r="AX189" i="1" s="1"/>
  <c r="AX190" i="1" s="1"/>
  <c r="AX191" i="1" s="1"/>
  <c r="AX192" i="1" s="1"/>
  <c r="AS187" i="1"/>
  <c r="AS188" i="1" s="1"/>
  <c r="AS189" i="1" s="1"/>
  <c r="AS190" i="1" s="1"/>
  <c r="AS191" i="1" s="1"/>
  <c r="AS192" i="1" s="1"/>
  <c r="AX181" i="1"/>
  <c r="AX182" i="1" s="1"/>
  <c r="AX183" i="1" s="1"/>
  <c r="AX184" i="1" s="1"/>
  <c r="AX185" i="1" s="1"/>
  <c r="AS181" i="1"/>
  <c r="AS182" i="1" s="1"/>
  <c r="AS183" i="1" s="1"/>
  <c r="AS184" i="1" s="1"/>
  <c r="AS185" i="1" s="1"/>
  <c r="AX174" i="1"/>
  <c r="AX175" i="1" s="1"/>
  <c r="AX176" i="1" s="1"/>
  <c r="AX177" i="1" s="1"/>
  <c r="AX178" i="1" s="1"/>
  <c r="AX179" i="1" s="1"/>
  <c r="AS174" i="1"/>
  <c r="AS175" i="1" s="1"/>
  <c r="AS176" i="1" s="1"/>
  <c r="AS177" i="1" s="1"/>
  <c r="AS178" i="1" s="1"/>
  <c r="AS179" i="1" s="1"/>
  <c r="AX170" i="1"/>
  <c r="AX171" i="1" s="1"/>
  <c r="AX172" i="1" s="1"/>
  <c r="AT170" i="1"/>
  <c r="AT171" i="1" s="1"/>
  <c r="AT172" i="1" s="1"/>
  <c r="AS170" i="1"/>
  <c r="AS171" i="1" s="1"/>
  <c r="AS172" i="1" s="1"/>
  <c r="AX165" i="1"/>
  <c r="AX166" i="1" s="1"/>
  <c r="AX167" i="1" s="1"/>
  <c r="AX168" i="1" s="1"/>
  <c r="AT165" i="1"/>
  <c r="AT166" i="1" s="1"/>
  <c r="AT167" i="1" s="1"/>
  <c r="AT168" i="1" s="1"/>
  <c r="AS165" i="1"/>
  <c r="AS166" i="1" s="1"/>
  <c r="AS167" i="1" s="1"/>
  <c r="AS168" i="1" s="1"/>
  <c r="AX155" i="1"/>
  <c r="AX156" i="1" s="1"/>
  <c r="AX157" i="1" s="1"/>
  <c r="AX158" i="1" s="1"/>
  <c r="AX159" i="1" s="1"/>
  <c r="AX160" i="1" s="1"/>
  <c r="AX161" i="1" s="1"/>
  <c r="AX162" i="1" s="1"/>
  <c r="AS155" i="1"/>
  <c r="AS156" i="1" s="1"/>
  <c r="AS157" i="1" s="1"/>
  <c r="AS158" i="1" s="1"/>
  <c r="AS159" i="1" s="1"/>
  <c r="AS160" i="1" s="1"/>
  <c r="AS161" i="1" s="1"/>
  <c r="AS162" i="1" s="1"/>
  <c r="AX146" i="1"/>
  <c r="AX147" i="1" s="1"/>
  <c r="AX148" i="1" s="1"/>
  <c r="AX149" i="1" s="1"/>
  <c r="AX150" i="1" s="1"/>
  <c r="AX151" i="1" s="1"/>
  <c r="AX152" i="1" s="1"/>
  <c r="AS146" i="1"/>
  <c r="AS147" i="1" s="1"/>
  <c r="AS148" i="1" s="1"/>
  <c r="AS149" i="1" s="1"/>
  <c r="AS150" i="1" s="1"/>
  <c r="AS151" i="1" s="1"/>
  <c r="AS152" i="1" s="1"/>
  <c r="AX38" i="1"/>
  <c r="AX39" i="1" s="1"/>
  <c r="AX40" i="1" s="1"/>
  <c r="AS38" i="1"/>
  <c r="AS39" i="1" s="1"/>
  <c r="AS40" i="1" s="1"/>
  <c r="AX32" i="1"/>
  <c r="AX33" i="1" s="1"/>
  <c r="AX34" i="1" s="1"/>
  <c r="AX35" i="1" s="1"/>
  <c r="AX36" i="1" s="1"/>
  <c r="AT32" i="1"/>
  <c r="AT33" i="1" s="1"/>
  <c r="AT34" i="1" s="1"/>
  <c r="AT35" i="1" s="1"/>
  <c r="AT36" i="1" s="1"/>
  <c r="AS32" i="1"/>
  <c r="AS33" i="1" s="1"/>
  <c r="AS34" i="1" s="1"/>
  <c r="AS35" i="1" s="1"/>
  <c r="AS36" i="1" s="1"/>
  <c r="AX28" i="1"/>
  <c r="AX29" i="1" s="1"/>
  <c r="AX30" i="1" s="1"/>
  <c r="AT28" i="1"/>
  <c r="AT29" i="1" s="1"/>
  <c r="AT30" i="1" s="1"/>
  <c r="AS28" i="1"/>
  <c r="AS29" i="1" s="1"/>
  <c r="AS30" i="1" s="1"/>
  <c r="AX136" i="1"/>
  <c r="AX137" i="1" s="1"/>
  <c r="AX138" i="1" s="1"/>
  <c r="AX139" i="1" s="1"/>
  <c r="AX140" i="1" s="1"/>
  <c r="AS136" i="1"/>
  <c r="AS137" i="1" s="1"/>
  <c r="AS138" i="1" s="1"/>
  <c r="AS139" i="1" s="1"/>
  <c r="AS140" i="1" s="1"/>
  <c r="AX132" i="1"/>
  <c r="AX133" i="1" s="1"/>
  <c r="AX134" i="1" s="1"/>
  <c r="AT132" i="1"/>
  <c r="AT133" i="1" s="1"/>
  <c r="AT134" i="1" s="1"/>
  <c r="AS132" i="1"/>
  <c r="AS133" i="1" s="1"/>
  <c r="AS134" i="1" s="1"/>
  <c r="AX128" i="1"/>
  <c r="AX129" i="1" s="1"/>
  <c r="AX130" i="1" s="1"/>
  <c r="AS128" i="1"/>
  <c r="AS129" i="1" s="1"/>
  <c r="AS130" i="1" s="1"/>
  <c r="AX124" i="1"/>
  <c r="AX125" i="1" s="1"/>
  <c r="AX126" i="1" s="1"/>
  <c r="AS124" i="1"/>
  <c r="AS125" i="1" s="1"/>
  <c r="AS126" i="1" s="1"/>
  <c r="AX120" i="1"/>
  <c r="AX121" i="1" s="1"/>
  <c r="AX122" i="1" s="1"/>
  <c r="AS120" i="1"/>
  <c r="AS121" i="1" s="1"/>
  <c r="AS122" i="1" s="1"/>
  <c r="AX20" i="1"/>
  <c r="AX21" i="1" s="1"/>
  <c r="AX22" i="1" s="1"/>
  <c r="AS20" i="1"/>
  <c r="AS21" i="1" s="1"/>
  <c r="AS22" i="1" s="1"/>
  <c r="AX16" i="1"/>
  <c r="AX17" i="1" s="1"/>
  <c r="AX18" i="1" s="1"/>
  <c r="AS16" i="1"/>
  <c r="AS17" i="1" s="1"/>
  <c r="AS18" i="1" s="1"/>
  <c r="AX113" i="1"/>
  <c r="AX114" i="1" s="1"/>
  <c r="AS113" i="1"/>
  <c r="AS114" i="1" s="1"/>
  <c r="AX104" i="1"/>
  <c r="AX105" i="1" s="1"/>
  <c r="AX106" i="1" s="1"/>
  <c r="AX107" i="1" s="1"/>
  <c r="AS104" i="1"/>
  <c r="AS105" i="1" s="1"/>
  <c r="AS106" i="1" s="1"/>
  <c r="AS107" i="1" s="1"/>
  <c r="AX48" i="1"/>
  <c r="AX49" i="1" s="1"/>
  <c r="AX50" i="1" s="1"/>
  <c r="AX51" i="1" s="1"/>
  <c r="AX52" i="1" s="1"/>
  <c r="AX53" i="1" s="1"/>
  <c r="AX54" i="1" s="1"/>
  <c r="AX55" i="1" s="1"/>
  <c r="AT48" i="1"/>
  <c r="AT49" i="1" s="1"/>
  <c r="AT50" i="1" s="1"/>
  <c r="AT51" i="1" s="1"/>
  <c r="AT52" i="1" s="1"/>
  <c r="AT53" i="1" s="1"/>
  <c r="AT54" i="1" s="1"/>
  <c r="AT55" i="1" s="1"/>
  <c r="AS48" i="1"/>
  <c r="AS49" i="1" s="1"/>
  <c r="AS50" i="1" s="1"/>
  <c r="AS51" i="1" s="1"/>
  <c r="AS52" i="1" s="1"/>
  <c r="AS53" i="1" s="1"/>
  <c r="AS54" i="1" s="1"/>
  <c r="AS55" i="1" s="1"/>
  <c r="AX24" i="1"/>
  <c r="AX25" i="1" s="1"/>
  <c r="AX26" i="1" s="1"/>
  <c r="AS24" i="1"/>
  <c r="AS25" i="1" s="1"/>
  <c r="AS26" i="1" s="1"/>
  <c r="AX98" i="1"/>
  <c r="AX99" i="1" s="1"/>
  <c r="AX100" i="1" s="1"/>
  <c r="AX101" i="1" s="1"/>
  <c r="AX102" i="1" s="1"/>
  <c r="AS98" i="1"/>
  <c r="AS99" i="1" s="1"/>
  <c r="AS100" i="1" s="1"/>
  <c r="AS101" i="1" s="1"/>
  <c r="AS102" i="1" s="1"/>
  <c r="AX12" i="1"/>
  <c r="AX13" i="1" s="1"/>
  <c r="AX14" i="1" s="1"/>
  <c r="AT249" i="1"/>
  <c r="AT250" i="1" s="1"/>
  <c r="AT220" i="1"/>
  <c r="AT221" i="1" s="1"/>
  <c r="AT222" i="1" s="1"/>
  <c r="AT210" i="1"/>
  <c r="AT211" i="1" s="1"/>
  <c r="AT231" i="1"/>
  <c r="AT232" i="1" s="1"/>
  <c r="AT233" i="1" s="1"/>
  <c r="AT234" i="1" s="1"/>
  <c r="AT235" i="1" s="1"/>
  <c r="AT243" i="1"/>
  <c r="AT244" i="1" s="1"/>
  <c r="AT245" i="1" s="1"/>
  <c r="AT241" i="1"/>
  <c r="AT242" i="1" s="1"/>
  <c r="AT198" i="1"/>
  <c r="AT199" i="1" s="1"/>
  <c r="AT200" i="1" s="1"/>
  <c r="AT201" i="1" s="1"/>
  <c r="AT202" i="1" s="1"/>
  <c r="AT194" i="1"/>
  <c r="AT195" i="1" s="1"/>
  <c r="AT196" i="1" s="1"/>
  <c r="AT197" i="1" s="1"/>
  <c r="AT187" i="1"/>
  <c r="AT188" i="1" s="1"/>
  <c r="AT189" i="1" s="1"/>
  <c r="AT190" i="1" s="1"/>
  <c r="AT191" i="1" s="1"/>
  <c r="AT192" i="1" s="1"/>
  <c r="AT181" i="1"/>
  <c r="AT182" i="1" s="1"/>
  <c r="AT183" i="1" s="1"/>
  <c r="AT184" i="1" s="1"/>
  <c r="AT185" i="1" s="1"/>
  <c r="AT174" i="1"/>
  <c r="AT175" i="1" s="1"/>
  <c r="AT176" i="1" s="1"/>
  <c r="AT177" i="1" s="1"/>
  <c r="AT178" i="1" s="1"/>
  <c r="AT179" i="1" s="1"/>
  <c r="AT154" i="1"/>
  <c r="AT155" i="1" s="1"/>
  <c r="AT156" i="1" s="1"/>
  <c r="AT157" i="1" s="1"/>
  <c r="AT158" i="1" s="1"/>
  <c r="AT159" i="1" s="1"/>
  <c r="AT160" i="1" s="1"/>
  <c r="AT161" i="1" s="1"/>
  <c r="AT162" i="1" s="1"/>
  <c r="AT153" i="1"/>
  <c r="AT145" i="1"/>
  <c r="AT146" i="1" s="1"/>
  <c r="AT147" i="1" s="1"/>
  <c r="AT148" i="1" s="1"/>
  <c r="AT149" i="1" s="1"/>
  <c r="AT150" i="1" s="1"/>
  <c r="AT151" i="1" s="1"/>
  <c r="AT152" i="1" s="1"/>
  <c r="AT38" i="1"/>
  <c r="AT39" i="1" s="1"/>
  <c r="AT40" i="1" s="1"/>
  <c r="AT136" i="1"/>
  <c r="AT137" i="1" s="1"/>
  <c r="AT138" i="1" s="1"/>
  <c r="AT139" i="1" s="1"/>
  <c r="AT140" i="1" s="1"/>
  <c r="AT128" i="1"/>
  <c r="AT129" i="1" s="1"/>
  <c r="AT130" i="1" s="1"/>
  <c r="AT124" i="1"/>
  <c r="AT125" i="1" s="1"/>
  <c r="AT126" i="1" s="1"/>
  <c r="AT120" i="1"/>
  <c r="AT121" i="1" s="1"/>
  <c r="AT122" i="1" s="1"/>
  <c r="AT20" i="1"/>
  <c r="AT21" i="1" s="1"/>
  <c r="AT22" i="1" s="1"/>
  <c r="AT16" i="1"/>
  <c r="AT17" i="1" s="1"/>
  <c r="AT18" i="1" s="1"/>
  <c r="AT113" i="1"/>
  <c r="AT114" i="1" s="1"/>
  <c r="AT103" i="1"/>
  <c r="AT104" i="1" s="1"/>
  <c r="AT105" i="1" s="1"/>
  <c r="AT106" i="1" s="1"/>
  <c r="AT107" i="1" s="1"/>
  <c r="AT24" i="1"/>
  <c r="AT25" i="1" s="1"/>
  <c r="AT26" i="1" s="1"/>
  <c r="AT97" i="1"/>
  <c r="AT98" i="1" s="1"/>
  <c r="AT99" i="1" s="1"/>
  <c r="AT100" i="1" s="1"/>
  <c r="AT101" i="1" s="1"/>
  <c r="AT102" i="1" s="1"/>
  <c r="AT11" i="1"/>
  <c r="AT12" i="1" s="1"/>
  <c r="AT13" i="1" s="1"/>
  <c r="AT14" i="1" s="1"/>
  <c r="AS12" i="1"/>
  <c r="AS13" i="1" s="1"/>
  <c r="AS14" i="1" s="1"/>
  <c r="X47" i="1"/>
  <c r="CO11" i="1"/>
  <c r="CO97" i="1"/>
  <c r="CO23" i="1"/>
  <c r="CO47" i="1"/>
  <c r="CO103" i="1"/>
  <c r="CO112" i="1"/>
  <c r="CO15" i="1"/>
  <c r="CO19" i="1"/>
  <c r="CO119" i="1"/>
  <c r="CO123" i="1"/>
  <c r="CO127" i="1"/>
  <c r="CO131" i="1"/>
  <c r="CO135" i="1"/>
  <c r="CO27" i="1"/>
  <c r="CO31" i="1"/>
  <c r="CO37" i="1"/>
  <c r="CO41" i="1"/>
  <c r="CO145" i="1"/>
  <c r="CO153" i="1"/>
  <c r="CO154" i="1"/>
  <c r="CO164" i="1"/>
  <c r="CO169" i="1"/>
  <c r="CO173" i="1"/>
  <c r="CO180" i="1"/>
  <c r="CO186" i="1"/>
  <c r="CO193" i="1"/>
  <c r="CO198" i="1"/>
  <c r="CO203" i="1"/>
  <c r="CO238" i="1"/>
  <c r="CO241" i="1"/>
  <c r="CO243" i="1"/>
  <c r="CO204" i="1"/>
  <c r="CO231" i="1"/>
  <c r="CO205" i="1"/>
  <c r="CO209" i="1"/>
  <c r="CO212" i="1"/>
  <c r="CO219" i="1"/>
  <c r="CO223" i="1"/>
  <c r="CO236" i="1"/>
  <c r="CO266" i="1"/>
  <c r="CO237" i="1"/>
  <c r="CO256" i="1"/>
  <c r="CO249" i="1"/>
  <c r="FK100" i="1"/>
  <c r="FD100" i="1"/>
  <c r="EX100" i="1"/>
  <c r="DU100" i="1"/>
  <c r="DS100" i="1"/>
  <c r="DF100" i="1"/>
  <c r="CT100" i="1"/>
  <c r="CR100" i="1"/>
  <c r="J100" i="1"/>
  <c r="CF100" i="1" s="1"/>
  <c r="I100" i="1"/>
  <c r="C100" i="1"/>
  <c r="FK51" i="1"/>
  <c r="FD51" i="1"/>
  <c r="EX51" i="1"/>
  <c r="DU51" i="1"/>
  <c r="DS51" i="1"/>
  <c r="DF51" i="1"/>
  <c r="CT51" i="1"/>
  <c r="CR51" i="1"/>
  <c r="V9" i="1"/>
  <c r="FK139" i="1"/>
  <c r="FD139" i="1"/>
  <c r="EX139" i="1"/>
  <c r="DU139" i="1"/>
  <c r="DS139" i="1"/>
  <c r="DF139" i="1"/>
  <c r="CT139" i="1"/>
  <c r="CR139" i="1"/>
  <c r="CP11" i="1"/>
  <c r="CQ11" i="1"/>
  <c r="CP97" i="1"/>
  <c r="CQ97" i="1"/>
  <c r="CP23" i="1"/>
  <c r="CQ23" i="1"/>
  <c r="CP47" i="1"/>
  <c r="CQ47" i="1"/>
  <c r="CP103" i="1"/>
  <c r="CQ103" i="1"/>
  <c r="CP112" i="1"/>
  <c r="CQ112" i="1"/>
  <c r="CP15" i="1"/>
  <c r="CQ15" i="1"/>
  <c r="CP19" i="1"/>
  <c r="CQ19" i="1"/>
  <c r="CP119" i="1"/>
  <c r="CQ119" i="1"/>
  <c r="CP123" i="1"/>
  <c r="CQ123" i="1"/>
  <c r="CP127" i="1"/>
  <c r="CQ127" i="1"/>
  <c r="CP131" i="1"/>
  <c r="CQ131" i="1"/>
  <c r="CP135" i="1"/>
  <c r="CQ135" i="1"/>
  <c r="CP27" i="1"/>
  <c r="CQ27" i="1"/>
  <c r="CP31" i="1"/>
  <c r="CQ31" i="1"/>
  <c r="CP37" i="1"/>
  <c r="CQ37" i="1"/>
  <c r="CP41" i="1"/>
  <c r="CQ41" i="1"/>
  <c r="CP145" i="1"/>
  <c r="CQ145" i="1"/>
  <c r="CP153" i="1"/>
  <c r="CQ153" i="1"/>
  <c r="CP154" i="1"/>
  <c r="CQ154" i="1"/>
  <c r="CP164" i="1"/>
  <c r="CQ164" i="1"/>
  <c r="CP169" i="1"/>
  <c r="CQ169" i="1"/>
  <c r="CP173" i="1"/>
  <c r="CQ173" i="1"/>
  <c r="CP180" i="1"/>
  <c r="CQ180" i="1"/>
  <c r="CP186" i="1"/>
  <c r="CQ186" i="1"/>
  <c r="CP193" i="1"/>
  <c r="CQ193" i="1"/>
  <c r="CP198" i="1"/>
  <c r="CQ198" i="1"/>
  <c r="CP203" i="1"/>
  <c r="CQ203" i="1"/>
  <c r="CP238" i="1"/>
  <c r="CQ238" i="1"/>
  <c r="CP241" i="1"/>
  <c r="CQ241" i="1"/>
  <c r="CP243" i="1"/>
  <c r="CQ243" i="1"/>
  <c r="CP204" i="1"/>
  <c r="CQ204" i="1"/>
  <c r="CP231" i="1"/>
  <c r="CQ231" i="1"/>
  <c r="CP205" i="1"/>
  <c r="CQ205" i="1"/>
  <c r="CP209" i="1"/>
  <c r="CQ209" i="1"/>
  <c r="CP212" i="1"/>
  <c r="CQ212" i="1"/>
  <c r="CP219" i="1"/>
  <c r="CQ219" i="1"/>
  <c r="CP223" i="1"/>
  <c r="CQ223" i="1"/>
  <c r="CP236" i="1"/>
  <c r="CQ236" i="1"/>
  <c r="CP266" i="1"/>
  <c r="CQ266" i="1"/>
  <c r="CP237" i="1"/>
  <c r="CQ237" i="1"/>
  <c r="CP256" i="1"/>
  <c r="CQ256" i="1"/>
  <c r="CP249" i="1"/>
  <c r="CQ249" i="1"/>
  <c r="FK258" i="1"/>
  <c r="FD258" i="1"/>
  <c r="EX258" i="1"/>
  <c r="DU258" i="1"/>
  <c r="DS258" i="1"/>
  <c r="DF258" i="1"/>
  <c r="CT258" i="1"/>
  <c r="CR258" i="1"/>
  <c r="J258" i="1"/>
  <c r="CF258" i="1" s="1"/>
  <c r="I258" i="1"/>
  <c r="C258" i="1"/>
  <c r="FK26" i="1"/>
  <c r="FD26" i="1"/>
  <c r="EX26" i="1"/>
  <c r="DU26" i="1"/>
  <c r="DS26" i="1"/>
  <c r="DF26" i="1"/>
  <c r="CT26" i="1"/>
  <c r="CR26" i="1"/>
  <c r="J26" i="1"/>
  <c r="I26" i="1"/>
  <c r="FK25" i="1"/>
  <c r="FD25" i="1"/>
  <c r="EX25" i="1"/>
  <c r="DU25" i="1"/>
  <c r="DS25" i="1"/>
  <c r="DF25" i="1"/>
  <c r="CT25" i="1"/>
  <c r="CR25" i="1"/>
  <c r="J25" i="1"/>
  <c r="I25" i="1"/>
  <c r="C25" i="1"/>
  <c r="CU24" i="1"/>
  <c r="CS24" i="1"/>
  <c r="BH24" i="1"/>
  <c r="BH25" i="1" s="1"/>
  <c r="BH26" i="1" s="1"/>
  <c r="BG24" i="1"/>
  <c r="BG25" i="1" s="1"/>
  <c r="BG26" i="1" s="1"/>
  <c r="AR24" i="1"/>
  <c r="AR25" i="1" s="1"/>
  <c r="AR26" i="1" s="1"/>
  <c r="AQ24" i="1"/>
  <c r="AQ25" i="1" s="1"/>
  <c r="AQ26" i="1" s="1"/>
  <c r="J24" i="1"/>
  <c r="CH24" i="1" s="1"/>
  <c r="I24" i="1"/>
  <c r="C24" i="1"/>
  <c r="C26" i="1" s="1"/>
  <c r="FK23" i="1"/>
  <c r="FJ23" i="1"/>
  <c r="FD23" i="1"/>
  <c r="FC23" i="1"/>
  <c r="EX23" i="1"/>
  <c r="EW23" i="1"/>
  <c r="EQ23" i="1"/>
  <c r="EK23" i="1"/>
  <c r="EE23" i="1"/>
  <c r="DZ23" i="1"/>
  <c r="DU23" i="1"/>
  <c r="DT23" i="1"/>
  <c r="DS23" i="1"/>
  <c r="DR23" i="1"/>
  <c r="DP23" i="1"/>
  <c r="DO23" i="1"/>
  <c r="DF23" i="1"/>
  <c r="DE23" i="1"/>
  <c r="DB23" i="1"/>
  <c r="DC23" i="1" s="1"/>
  <c r="DA23" i="1"/>
  <c r="CT23" i="1"/>
  <c r="CF23" i="1"/>
  <c r="BT23" i="1"/>
  <c r="BN23" i="1"/>
  <c r="AZ23" i="1"/>
  <c r="AY23" i="1"/>
  <c r="W23" i="1"/>
  <c r="V23" i="1"/>
  <c r="I23" i="1"/>
  <c r="B23" i="1"/>
  <c r="B164" i="1"/>
  <c r="I164" i="1"/>
  <c r="AY164" i="1"/>
  <c r="AZ164" i="1"/>
  <c r="BN164" i="1"/>
  <c r="BT164" i="1"/>
  <c r="CF164" i="1"/>
  <c r="DA164" i="1"/>
  <c r="DB164" i="1"/>
  <c r="DC164" i="1" s="1"/>
  <c r="DE164" i="1"/>
  <c r="DF164" i="1"/>
  <c r="DO164" i="1"/>
  <c r="DP164" i="1"/>
  <c r="DR164" i="1"/>
  <c r="DS164" i="1"/>
  <c r="DT164" i="1"/>
  <c r="DU164" i="1"/>
  <c r="DZ164" i="1"/>
  <c r="EE164" i="1"/>
  <c r="EK164" i="1"/>
  <c r="EQ164" i="1"/>
  <c r="EW164" i="1"/>
  <c r="EX164" i="1"/>
  <c r="FC164" i="1"/>
  <c r="FD164" i="1"/>
  <c r="FJ164" i="1"/>
  <c r="FK164" i="1"/>
  <c r="BS5" i="1"/>
  <c r="U9" i="1"/>
  <c r="J139" i="1"/>
  <c r="CF139" i="1" s="1"/>
  <c r="I139" i="1"/>
  <c r="FK259" i="1"/>
  <c r="FD259" i="1"/>
  <c r="EX259" i="1"/>
  <c r="DU259" i="1"/>
  <c r="DS259" i="1"/>
  <c r="DF259" i="1"/>
  <c r="CT259" i="1"/>
  <c r="CR259" i="1"/>
  <c r="J259" i="1"/>
  <c r="I259" i="1"/>
  <c r="FK257" i="1"/>
  <c r="FD257" i="1"/>
  <c r="EX257" i="1"/>
  <c r="DU257" i="1"/>
  <c r="DS257" i="1"/>
  <c r="DF257" i="1"/>
  <c r="CU257" i="1"/>
  <c r="CS257" i="1"/>
  <c r="CR257" i="1" s="1"/>
  <c r="J257" i="1"/>
  <c r="CF257" i="1" s="1"/>
  <c r="I257" i="1"/>
  <c r="C257" i="1"/>
  <c r="C259" i="1" s="1"/>
  <c r="FK256" i="1"/>
  <c r="FJ256" i="1"/>
  <c r="FD256" i="1"/>
  <c r="FC256" i="1"/>
  <c r="EX256" i="1"/>
  <c r="EW256" i="1"/>
  <c r="EQ256" i="1"/>
  <c r="EK256" i="1"/>
  <c r="EE256" i="1"/>
  <c r="DZ256" i="1"/>
  <c r="DU256" i="1"/>
  <c r="DT256" i="1"/>
  <c r="DS256" i="1"/>
  <c r="DR256" i="1"/>
  <c r="DP256" i="1"/>
  <c r="DO256" i="1"/>
  <c r="DF256" i="1"/>
  <c r="DE256" i="1"/>
  <c r="DB256" i="1"/>
  <c r="DC256" i="1" s="1"/>
  <c r="DA256" i="1"/>
  <c r="CT256" i="1"/>
  <c r="CR256" i="1"/>
  <c r="CF256" i="1"/>
  <c r="BT256" i="1"/>
  <c r="BN256" i="1"/>
  <c r="AZ256" i="1"/>
  <c r="AY256" i="1"/>
  <c r="I256" i="1"/>
  <c r="B256" i="1"/>
  <c r="FK237" i="1"/>
  <c r="FJ237" i="1"/>
  <c r="FD237" i="1"/>
  <c r="FC237" i="1"/>
  <c r="EX237" i="1"/>
  <c r="EW237" i="1"/>
  <c r="EQ237" i="1"/>
  <c r="EK237" i="1"/>
  <c r="EE237" i="1"/>
  <c r="DZ237" i="1"/>
  <c r="DU237" i="1"/>
  <c r="DT237" i="1"/>
  <c r="DS237" i="1"/>
  <c r="DR237" i="1"/>
  <c r="DP237" i="1"/>
  <c r="DO237" i="1"/>
  <c r="DF237" i="1"/>
  <c r="DE237" i="1"/>
  <c r="DA237" i="1"/>
  <c r="CT237" i="1"/>
  <c r="CR237" i="1"/>
  <c r="W237" i="1"/>
  <c r="V237" i="1"/>
  <c r="FK250" i="1"/>
  <c r="FD250" i="1"/>
  <c r="EX250" i="1"/>
  <c r="DU250" i="1"/>
  <c r="DS250" i="1"/>
  <c r="DF250" i="1"/>
  <c r="CU250" i="1"/>
  <c r="CS250" i="1"/>
  <c r="CR250" i="1" s="1"/>
  <c r="BH250" i="1"/>
  <c r="BG250" i="1"/>
  <c r="AR250" i="1"/>
  <c r="AQ250" i="1"/>
  <c r="J250" i="1"/>
  <c r="CF250" i="1" s="1"/>
  <c r="I250" i="1"/>
  <c r="C250" i="1"/>
  <c r="FK249" i="1"/>
  <c r="FJ249" i="1"/>
  <c r="FD249" i="1"/>
  <c r="FC249" i="1"/>
  <c r="EX249" i="1"/>
  <c r="EW249" i="1"/>
  <c r="EQ249" i="1"/>
  <c r="EK249" i="1"/>
  <c r="EE249" i="1"/>
  <c r="DZ249" i="1"/>
  <c r="DU249" i="1"/>
  <c r="DT249" i="1"/>
  <c r="DS249" i="1"/>
  <c r="DR249" i="1"/>
  <c r="DP249" i="1"/>
  <c r="DO249" i="1"/>
  <c r="DF249" i="1"/>
  <c r="DE249" i="1"/>
  <c r="DB249" i="1"/>
  <c r="DC249" i="1" s="1"/>
  <c r="DA249" i="1"/>
  <c r="CT249" i="1"/>
  <c r="CR249" i="1"/>
  <c r="CF249" i="1"/>
  <c r="BT249" i="1"/>
  <c r="BN249" i="1"/>
  <c r="AZ249" i="1"/>
  <c r="AY249" i="1"/>
  <c r="I249" i="1"/>
  <c r="B249" i="1"/>
  <c r="W9" i="1"/>
  <c r="AE232" i="1"/>
  <c r="AE233" i="1" s="1"/>
  <c r="AE234" i="1" s="1"/>
  <c r="AE235" i="1" s="1"/>
  <c r="AE199" i="1"/>
  <c r="AE200" i="1" s="1"/>
  <c r="AE201" i="1" s="1"/>
  <c r="AE202" i="1" s="1"/>
  <c r="Z9" i="1"/>
  <c r="AA9" i="1"/>
  <c r="AB9" i="1"/>
  <c r="AC9" i="1"/>
  <c r="P9" i="1"/>
  <c r="Q9" i="1"/>
  <c r="R9" i="1"/>
  <c r="S9" i="1"/>
  <c r="T9" i="1"/>
  <c r="O9" i="1"/>
  <c r="W236" i="1"/>
  <c r="V236" i="1"/>
  <c r="W204" i="1"/>
  <c r="V204" i="1"/>
  <c r="AD9" i="1"/>
  <c r="I266" i="1"/>
  <c r="I223" i="1"/>
  <c r="I219" i="1"/>
  <c r="I212" i="1"/>
  <c r="I209" i="1"/>
  <c r="I205" i="1"/>
  <c r="I231" i="1"/>
  <c r="I243" i="1"/>
  <c r="I241" i="1"/>
  <c r="I238" i="1"/>
  <c r="I198" i="1"/>
  <c r="I193" i="1"/>
  <c r="I186" i="1"/>
  <c r="I47" i="1"/>
  <c r="I180" i="1"/>
  <c r="I173" i="1"/>
  <c r="I169" i="1"/>
  <c r="I154" i="1"/>
  <c r="I153" i="1"/>
  <c r="I145" i="1"/>
  <c r="I41" i="1"/>
  <c r="I37" i="1"/>
  <c r="I31" i="1"/>
  <c r="I27" i="1"/>
  <c r="I135" i="1"/>
  <c r="I131" i="1"/>
  <c r="I127" i="1"/>
  <c r="I123" i="1"/>
  <c r="I97" i="1"/>
  <c r="I119" i="1"/>
  <c r="I19" i="1"/>
  <c r="I15" i="1"/>
  <c r="I112" i="1"/>
  <c r="I103" i="1"/>
  <c r="I11" i="1"/>
  <c r="CF266" i="1"/>
  <c r="BT266" i="1"/>
  <c r="BN266" i="1"/>
  <c r="CF223" i="1"/>
  <c r="BT223" i="1"/>
  <c r="BN223" i="1"/>
  <c r="CF219" i="1"/>
  <c r="BT219" i="1"/>
  <c r="BN219" i="1"/>
  <c r="CF212" i="1"/>
  <c r="BT212" i="1"/>
  <c r="BN212" i="1"/>
  <c r="CF209" i="1"/>
  <c r="BT209" i="1"/>
  <c r="BN209" i="1"/>
  <c r="CF205" i="1"/>
  <c r="BT205" i="1"/>
  <c r="BN205" i="1"/>
  <c r="CF231" i="1"/>
  <c r="BT231" i="1"/>
  <c r="BN231" i="1"/>
  <c r="CF243" i="1"/>
  <c r="BT243" i="1"/>
  <c r="BN243" i="1"/>
  <c r="CF241" i="1"/>
  <c r="BT241" i="1"/>
  <c r="BN241" i="1"/>
  <c r="CF238" i="1"/>
  <c r="BT238" i="1"/>
  <c r="BN238" i="1"/>
  <c r="CF198" i="1"/>
  <c r="BT198" i="1"/>
  <c r="BN198" i="1"/>
  <c r="CF193" i="1"/>
  <c r="BT193" i="1"/>
  <c r="BN193" i="1"/>
  <c r="CF186" i="1"/>
  <c r="BT186" i="1"/>
  <c r="BN186" i="1"/>
  <c r="CF47" i="1"/>
  <c r="BT47" i="1"/>
  <c r="BN47" i="1"/>
  <c r="CF180" i="1"/>
  <c r="BT180" i="1"/>
  <c r="BN180" i="1"/>
  <c r="CF173" i="1"/>
  <c r="BT173" i="1"/>
  <c r="BN173" i="1"/>
  <c r="CF169" i="1"/>
  <c r="BT169" i="1"/>
  <c r="BN169" i="1"/>
  <c r="CF154" i="1"/>
  <c r="BT154" i="1"/>
  <c r="BN154" i="1"/>
  <c r="CF153" i="1"/>
  <c r="BT153" i="1"/>
  <c r="BN153" i="1"/>
  <c r="CF145" i="1"/>
  <c r="BT145" i="1"/>
  <c r="BN145" i="1"/>
  <c r="CF41" i="1"/>
  <c r="BT41" i="1"/>
  <c r="BN41" i="1"/>
  <c r="CF37" i="1"/>
  <c r="BT37" i="1"/>
  <c r="BN37" i="1"/>
  <c r="CF31" i="1"/>
  <c r="BT31" i="1"/>
  <c r="BN31" i="1"/>
  <c r="CF27" i="1"/>
  <c r="BT27" i="1"/>
  <c r="BN27" i="1"/>
  <c r="CF135" i="1"/>
  <c r="BT135" i="1"/>
  <c r="BN135" i="1"/>
  <c r="CF131" i="1"/>
  <c r="BT131" i="1"/>
  <c r="BN131" i="1"/>
  <c r="CF127" i="1"/>
  <c r="BT127" i="1"/>
  <c r="BN127" i="1"/>
  <c r="CF123" i="1"/>
  <c r="BT123" i="1"/>
  <c r="BN123" i="1"/>
  <c r="CF97" i="1"/>
  <c r="BT97" i="1"/>
  <c r="BN97" i="1"/>
  <c r="CF119" i="1"/>
  <c r="BT119" i="1"/>
  <c r="BN119" i="1"/>
  <c r="CF19" i="1"/>
  <c r="BT19" i="1"/>
  <c r="BN19" i="1"/>
  <c r="CF15" i="1"/>
  <c r="BT15" i="1"/>
  <c r="BN15" i="1"/>
  <c r="CF112" i="1"/>
  <c r="BT112" i="1"/>
  <c r="BN112" i="1"/>
  <c r="CF103" i="1"/>
  <c r="BT103" i="1"/>
  <c r="BN103" i="1"/>
  <c r="CF11" i="1"/>
  <c r="BN11" i="1"/>
  <c r="BT11" i="1"/>
  <c r="FK134" i="1"/>
  <c r="FD134" i="1"/>
  <c r="EX134" i="1"/>
  <c r="DU134" i="1"/>
  <c r="DS134" i="1"/>
  <c r="DF134" i="1"/>
  <c r="CT134" i="1"/>
  <c r="CR134" i="1"/>
  <c r="J134" i="1"/>
  <c r="CF134" i="1" s="1"/>
  <c r="I134" i="1"/>
  <c r="FK133" i="1"/>
  <c r="FD133" i="1"/>
  <c r="EX133" i="1"/>
  <c r="DU133" i="1"/>
  <c r="DS133" i="1"/>
  <c r="DF133" i="1"/>
  <c r="CT133" i="1"/>
  <c r="CR133" i="1"/>
  <c r="J133" i="1"/>
  <c r="CF133" i="1" s="1"/>
  <c r="I133" i="1"/>
  <c r="C133" i="1"/>
  <c r="FK132" i="1"/>
  <c r="FD132" i="1"/>
  <c r="EX132" i="1"/>
  <c r="DU132" i="1"/>
  <c r="DS132" i="1"/>
  <c r="DF132" i="1"/>
  <c r="CU132" i="1"/>
  <c r="CS132" i="1"/>
  <c r="CR132" i="1" s="1"/>
  <c r="BH132" i="1"/>
  <c r="BH133" i="1" s="1"/>
  <c r="BH134" i="1" s="1"/>
  <c r="BG132" i="1"/>
  <c r="BG133" i="1" s="1"/>
  <c r="BG134" i="1" s="1"/>
  <c r="AR132" i="1"/>
  <c r="AR133" i="1" s="1"/>
  <c r="AR134" i="1" s="1"/>
  <c r="AQ132" i="1"/>
  <c r="AQ133" i="1" s="1"/>
  <c r="AQ134" i="1" s="1"/>
  <c r="J132" i="1"/>
  <c r="CF132" i="1" s="1"/>
  <c r="I132" i="1"/>
  <c r="C132" i="1"/>
  <c r="C134" i="1" s="1"/>
  <c r="FK131" i="1"/>
  <c r="FJ131" i="1"/>
  <c r="FD131" i="1"/>
  <c r="FC131" i="1"/>
  <c r="EX131" i="1"/>
  <c r="EW131" i="1"/>
  <c r="EQ131" i="1"/>
  <c r="EK131" i="1"/>
  <c r="EE131" i="1"/>
  <c r="DZ131" i="1"/>
  <c r="DU131" i="1"/>
  <c r="DT131" i="1"/>
  <c r="DS131" i="1"/>
  <c r="DR131" i="1"/>
  <c r="DP131" i="1"/>
  <c r="DO131" i="1"/>
  <c r="DM131" i="1"/>
  <c r="DL131" i="1"/>
  <c r="DK131" i="1"/>
  <c r="DJ131" i="1"/>
  <c r="DI131" i="1"/>
  <c r="DH131" i="1"/>
  <c r="DG131" i="1" s="1"/>
  <c r="DF131" i="1"/>
  <c r="DE131" i="1"/>
  <c r="DB131" i="1"/>
  <c r="DC131" i="1" s="1"/>
  <c r="DA131" i="1"/>
  <c r="CT131" i="1"/>
  <c r="CR131" i="1"/>
  <c r="AZ131" i="1"/>
  <c r="AY131" i="1"/>
  <c r="W131" i="1"/>
  <c r="V131" i="1"/>
  <c r="B131" i="1"/>
  <c r="FK153" i="1"/>
  <c r="FJ153" i="1"/>
  <c r="FD153" i="1"/>
  <c r="FC153" i="1"/>
  <c r="EX153" i="1"/>
  <c r="EW153" i="1"/>
  <c r="EQ153" i="1"/>
  <c r="EK153" i="1"/>
  <c r="EE153" i="1"/>
  <c r="DZ153" i="1"/>
  <c r="DU153" i="1"/>
  <c r="DT153" i="1"/>
  <c r="DS153" i="1"/>
  <c r="DR153" i="1"/>
  <c r="DP153" i="1"/>
  <c r="DO153" i="1"/>
  <c r="DM153" i="1"/>
  <c r="DL153" i="1"/>
  <c r="DK153" i="1"/>
  <c r="DJ153" i="1"/>
  <c r="DI153" i="1"/>
  <c r="DH153" i="1"/>
  <c r="DG153" i="1" s="1"/>
  <c r="DF153" i="1"/>
  <c r="DE153" i="1"/>
  <c r="DB153" i="1"/>
  <c r="DC153" i="1" s="1"/>
  <c r="DA153" i="1"/>
  <c r="CT153" i="1"/>
  <c r="CR153" i="1"/>
  <c r="AZ153" i="1"/>
  <c r="AY153" i="1"/>
  <c r="W153" i="1"/>
  <c r="V153" i="1"/>
  <c r="B153" i="1"/>
  <c r="V119" i="1"/>
  <c r="FK122" i="1"/>
  <c r="FD122" i="1"/>
  <c r="EX122" i="1"/>
  <c r="DU122" i="1"/>
  <c r="DS122" i="1"/>
  <c r="DF122" i="1"/>
  <c r="CT122" i="1"/>
  <c r="CR122" i="1"/>
  <c r="J122" i="1"/>
  <c r="CF122" i="1" s="1"/>
  <c r="I122" i="1"/>
  <c r="FK121" i="1"/>
  <c r="FD121" i="1"/>
  <c r="EX121" i="1"/>
  <c r="DU121" i="1"/>
  <c r="DS121" i="1"/>
  <c r="DF121" i="1"/>
  <c r="CT121" i="1"/>
  <c r="CR121" i="1"/>
  <c r="J121" i="1"/>
  <c r="CH121" i="1" s="1"/>
  <c r="I121" i="1"/>
  <c r="FK120" i="1"/>
  <c r="FD120" i="1"/>
  <c r="EX120" i="1"/>
  <c r="DU120" i="1"/>
  <c r="DS120" i="1"/>
  <c r="DF120" i="1"/>
  <c r="CU120" i="1"/>
  <c r="CS120" i="1"/>
  <c r="BH120" i="1"/>
  <c r="BH121" i="1" s="1"/>
  <c r="BH122" i="1" s="1"/>
  <c r="BG120" i="1"/>
  <c r="BG121" i="1" s="1"/>
  <c r="BG122" i="1" s="1"/>
  <c r="AR120" i="1"/>
  <c r="AR121" i="1" s="1"/>
  <c r="AR122" i="1" s="1"/>
  <c r="AQ120" i="1"/>
  <c r="AQ121" i="1" s="1"/>
  <c r="AQ122" i="1" s="1"/>
  <c r="J120" i="1"/>
  <c r="CF120" i="1" s="1"/>
  <c r="I120" i="1"/>
  <c r="C120" i="1"/>
  <c r="C121" i="1" s="1"/>
  <c r="C122" i="1" s="1"/>
  <c r="FK119" i="1"/>
  <c r="FD119" i="1"/>
  <c r="EX119" i="1"/>
  <c r="DU119" i="1"/>
  <c r="DS119" i="1"/>
  <c r="DR119" i="1"/>
  <c r="DP119" i="1"/>
  <c r="DF119" i="1"/>
  <c r="DB119" i="1"/>
  <c r="DC119" i="1" s="1"/>
  <c r="DA119" i="1"/>
  <c r="CT119" i="1"/>
  <c r="AZ119" i="1"/>
  <c r="AY119" i="1"/>
  <c r="B119" i="1"/>
  <c r="FK270" i="1"/>
  <c r="FD270" i="1"/>
  <c r="EX270" i="1"/>
  <c r="DU270" i="1"/>
  <c r="DS270" i="1"/>
  <c r="DF270" i="1"/>
  <c r="CT270" i="1"/>
  <c r="CR270" i="1"/>
  <c r="J270" i="1"/>
  <c r="I270" i="1"/>
  <c r="CT268" i="1"/>
  <c r="CR268" i="1"/>
  <c r="J268" i="1"/>
  <c r="I268" i="1"/>
  <c r="CR271" i="1"/>
  <c r="CR269" i="1"/>
  <c r="CR236" i="1"/>
  <c r="CR227" i="1"/>
  <c r="CR226" i="1"/>
  <c r="CR222" i="1"/>
  <c r="CR221" i="1"/>
  <c r="CR218" i="1"/>
  <c r="CR217" i="1"/>
  <c r="CR216" i="1"/>
  <c r="CR215" i="1"/>
  <c r="CR214" i="1"/>
  <c r="CR211" i="1"/>
  <c r="CR210" i="1"/>
  <c r="CR209" i="1"/>
  <c r="CR208" i="1"/>
  <c r="CR207" i="1"/>
  <c r="CR235" i="1"/>
  <c r="CR234" i="1"/>
  <c r="CR233" i="1"/>
  <c r="CR231" i="1"/>
  <c r="CR204" i="1"/>
  <c r="CR245" i="1"/>
  <c r="CR243" i="1"/>
  <c r="CR242" i="1"/>
  <c r="CR241" i="1"/>
  <c r="CR240" i="1"/>
  <c r="CR238" i="1"/>
  <c r="CR203" i="1"/>
  <c r="CR202" i="1"/>
  <c r="CR201" i="1"/>
  <c r="CR200" i="1"/>
  <c r="CR198" i="1"/>
  <c r="CR197" i="1"/>
  <c r="CR196" i="1"/>
  <c r="CR195" i="1"/>
  <c r="CR192" i="1"/>
  <c r="CR190" i="1"/>
  <c r="CR189" i="1"/>
  <c r="CR188" i="1"/>
  <c r="CR55" i="1"/>
  <c r="CR54" i="1"/>
  <c r="CR53" i="1"/>
  <c r="CR52" i="1"/>
  <c r="CR50" i="1"/>
  <c r="CR49" i="1"/>
  <c r="CR185" i="1"/>
  <c r="CR184" i="1"/>
  <c r="CR183" i="1"/>
  <c r="CR182" i="1"/>
  <c r="CR180" i="1"/>
  <c r="CR179" i="1"/>
  <c r="CR178" i="1"/>
  <c r="CR177" i="1"/>
  <c r="CR176" i="1"/>
  <c r="CR175" i="1"/>
  <c r="CR172" i="1"/>
  <c r="CR171" i="1"/>
  <c r="CR169" i="1"/>
  <c r="CR168" i="1"/>
  <c r="CR167" i="1"/>
  <c r="CR166" i="1"/>
  <c r="CR162" i="1"/>
  <c r="CR161" i="1"/>
  <c r="CR160" i="1"/>
  <c r="CR159" i="1"/>
  <c r="CR158" i="1"/>
  <c r="CR157" i="1"/>
  <c r="CR154" i="1"/>
  <c r="CR152" i="1"/>
  <c r="CR151" i="1"/>
  <c r="CR150" i="1"/>
  <c r="CR149" i="1"/>
  <c r="CR148" i="1"/>
  <c r="CR147" i="1"/>
  <c r="CR46" i="1"/>
  <c r="CR45" i="1"/>
  <c r="CR44" i="1"/>
  <c r="CR43" i="1"/>
  <c r="CR41" i="1"/>
  <c r="CR40" i="1"/>
  <c r="CR39" i="1"/>
  <c r="CR37" i="1"/>
  <c r="CR36" i="1"/>
  <c r="CR35" i="1"/>
  <c r="CR34" i="1"/>
  <c r="CR33" i="1"/>
  <c r="CR30" i="1"/>
  <c r="CR29" i="1"/>
  <c r="CR28" i="1"/>
  <c r="CR27" i="1"/>
  <c r="CR140" i="1"/>
  <c r="CR138" i="1"/>
  <c r="CR137" i="1"/>
  <c r="CR130" i="1"/>
  <c r="CR129" i="1"/>
  <c r="CR127" i="1"/>
  <c r="CR126" i="1"/>
  <c r="CR125" i="1"/>
  <c r="CR102" i="1"/>
  <c r="CR101" i="1"/>
  <c r="CR99" i="1"/>
  <c r="CR22" i="1"/>
  <c r="CR21" i="1"/>
  <c r="CR18" i="1"/>
  <c r="CR17" i="1"/>
  <c r="CR114" i="1"/>
  <c r="CR107" i="1"/>
  <c r="CR106" i="1"/>
  <c r="CR105" i="1"/>
  <c r="CR14" i="1"/>
  <c r="CR13" i="1"/>
  <c r="X9" i="1"/>
  <c r="DO119" i="1"/>
  <c r="CR186" i="1"/>
  <c r="CL10" i="1"/>
  <c r="FO135" i="1"/>
  <c r="FG135" i="1"/>
  <c r="FI135" i="1"/>
  <c r="FN135" i="1"/>
  <c r="FA135" i="1"/>
  <c r="FB135" i="1"/>
  <c r="EU135" i="1"/>
  <c r="EV135" i="1"/>
  <c r="EN135" i="1"/>
  <c r="EO135" i="1"/>
  <c r="EP135" i="1"/>
  <c r="DW135" i="1"/>
  <c r="DX135" i="1"/>
  <c r="DV135" i="1"/>
  <c r="EH135" i="1"/>
  <c r="EB135" i="1"/>
  <c r="EI135" i="1"/>
  <c r="EC135" i="1"/>
  <c r="EJ135" i="1"/>
  <c r="ED135" i="1"/>
  <c r="I227" i="1"/>
  <c r="J227" i="1"/>
  <c r="CF227" i="1" s="1"/>
  <c r="CT227" i="1"/>
  <c r="J225" i="1"/>
  <c r="CF225" i="1" s="1"/>
  <c r="I225" i="1"/>
  <c r="AC223" i="1"/>
  <c r="FK216" i="1"/>
  <c r="FD216" i="1"/>
  <c r="EX216" i="1"/>
  <c r="DU216" i="1"/>
  <c r="DS216" i="1"/>
  <c r="DF216" i="1"/>
  <c r="CT216" i="1"/>
  <c r="J216" i="1"/>
  <c r="CF216" i="1" s="1"/>
  <c r="I216" i="1"/>
  <c r="FK178" i="1"/>
  <c r="FD178" i="1"/>
  <c r="EX178" i="1"/>
  <c r="DU178" i="1"/>
  <c r="DS178" i="1"/>
  <c r="DF178" i="1"/>
  <c r="CT178" i="1"/>
  <c r="J178" i="1"/>
  <c r="CF178" i="1" s="1"/>
  <c r="I178" i="1"/>
  <c r="FK177" i="1"/>
  <c r="FD177" i="1"/>
  <c r="EX177" i="1"/>
  <c r="DU177" i="1"/>
  <c r="DS177" i="1"/>
  <c r="DF177" i="1"/>
  <c r="CT177" i="1"/>
  <c r="J177" i="1"/>
  <c r="CF177" i="1" s="1"/>
  <c r="I177" i="1"/>
  <c r="FK176" i="1"/>
  <c r="FD176" i="1"/>
  <c r="EX176" i="1"/>
  <c r="DU176" i="1"/>
  <c r="DS176" i="1"/>
  <c r="DF176" i="1"/>
  <c r="CT176" i="1"/>
  <c r="J176" i="1"/>
  <c r="I176" i="1"/>
  <c r="H8" i="1"/>
  <c r="J32" i="1"/>
  <c r="CI32" i="1" s="1"/>
  <c r="J187" i="1"/>
  <c r="CF187" i="1" s="1"/>
  <c r="A235" i="1"/>
  <c r="A202" i="1"/>
  <c r="V97" i="1"/>
  <c r="W97" i="1"/>
  <c r="V127" i="1"/>
  <c r="W127" i="1"/>
  <c r="V135" i="1"/>
  <c r="W135" i="1"/>
  <c r="AY10" i="1"/>
  <c r="AY266" i="1"/>
  <c r="AY223" i="1"/>
  <c r="AY219" i="1"/>
  <c r="AY212" i="1"/>
  <c r="AY209" i="1"/>
  <c r="AY205" i="1"/>
  <c r="AY231" i="1"/>
  <c r="AY243" i="1"/>
  <c r="AY241" i="1"/>
  <c r="AY238" i="1"/>
  <c r="AY198" i="1"/>
  <c r="AY193" i="1"/>
  <c r="AY186" i="1"/>
  <c r="AY47" i="1"/>
  <c r="AY180" i="1"/>
  <c r="AY173" i="1"/>
  <c r="AY169" i="1"/>
  <c r="AY154" i="1"/>
  <c r="AY145" i="1"/>
  <c r="AY41" i="1"/>
  <c r="AY37" i="1"/>
  <c r="AY31" i="1"/>
  <c r="AY27" i="1"/>
  <c r="AY135" i="1"/>
  <c r="AY127" i="1"/>
  <c r="AY123" i="1"/>
  <c r="AY97" i="1"/>
  <c r="AY19" i="1"/>
  <c r="AY15" i="1"/>
  <c r="AY112" i="1"/>
  <c r="AY103" i="1"/>
  <c r="AY11" i="1"/>
  <c r="CU12" i="1"/>
  <c r="W173" i="1"/>
  <c r="V173" i="1"/>
  <c r="W169" i="1"/>
  <c r="V169" i="1"/>
  <c r="W154" i="1"/>
  <c r="W145" i="1"/>
  <c r="V145" i="1"/>
  <c r="W27" i="1"/>
  <c r="V27" i="1"/>
  <c r="W193" i="1"/>
  <c r="W186" i="1"/>
  <c r="V186" i="1"/>
  <c r="FF135" i="1"/>
  <c r="FH135" i="1"/>
  <c r="EG135" i="1"/>
  <c r="EM135" i="1"/>
  <c r="BD249" i="1"/>
  <c r="BD15" i="1"/>
  <c r="BD19" i="1"/>
  <c r="BD219" i="1"/>
  <c r="BD127" i="1"/>
  <c r="BD27" i="1"/>
  <c r="BD223" i="1"/>
  <c r="CW3" i="1"/>
  <c r="CW4" i="1"/>
  <c r="CX4" i="1"/>
  <c r="CY4" i="1"/>
  <c r="CZ4" i="1"/>
  <c r="CW6" i="1"/>
  <c r="CX6" i="1"/>
  <c r="CY6" i="1"/>
  <c r="CZ6" i="1"/>
  <c r="DA103" i="1"/>
  <c r="DA112" i="1"/>
  <c r="DA15" i="1"/>
  <c r="DA19" i="1"/>
  <c r="DA97" i="1"/>
  <c r="DA123" i="1"/>
  <c r="DA127" i="1"/>
  <c r="DA135" i="1"/>
  <c r="DA27" i="1"/>
  <c r="DA31" i="1"/>
  <c r="DA37" i="1"/>
  <c r="DA41" i="1"/>
  <c r="DA145" i="1"/>
  <c r="DA154" i="1"/>
  <c r="DA169" i="1"/>
  <c r="DA173" i="1"/>
  <c r="DA180" i="1"/>
  <c r="DA47" i="1"/>
  <c r="DA186" i="1"/>
  <c r="DA193" i="1"/>
  <c r="DA198" i="1"/>
  <c r="DA203" i="1"/>
  <c r="DA238" i="1"/>
  <c r="DA241" i="1"/>
  <c r="DA243" i="1"/>
  <c r="DA231" i="1"/>
  <c r="DA205" i="1"/>
  <c r="DA209" i="1"/>
  <c r="DA212" i="1"/>
  <c r="DA219" i="1"/>
  <c r="DA223" i="1"/>
  <c r="DA236" i="1"/>
  <c r="DA266" i="1"/>
  <c r="DA11" i="1"/>
  <c r="EZ135" i="1"/>
  <c r="ET135" i="1"/>
  <c r="FM135" i="1"/>
  <c r="AR187" i="1"/>
  <c r="AR188" i="1" s="1"/>
  <c r="AR189" i="1" s="1"/>
  <c r="AR190" i="1" s="1"/>
  <c r="AR191" i="1" s="1"/>
  <c r="AR192" i="1" s="1"/>
  <c r="AQ187" i="1"/>
  <c r="AQ188" i="1" s="1"/>
  <c r="AQ189" i="1" s="1"/>
  <c r="AQ190" i="1" s="1"/>
  <c r="AQ191" i="1" s="1"/>
  <c r="AQ192" i="1" s="1"/>
  <c r="BH32" i="1"/>
  <c r="BH33" i="1" s="1"/>
  <c r="BH34" i="1" s="1"/>
  <c r="BH35" i="1" s="1"/>
  <c r="BH36" i="1" s="1"/>
  <c r="BG32" i="1"/>
  <c r="BG33" i="1" s="1"/>
  <c r="BG34" i="1" s="1"/>
  <c r="BG35" i="1" s="1"/>
  <c r="BG36" i="1" s="1"/>
  <c r="AR32" i="1"/>
  <c r="AR33" i="1" s="1"/>
  <c r="AR34" i="1" s="1"/>
  <c r="AR35" i="1" s="1"/>
  <c r="AR36" i="1" s="1"/>
  <c r="AQ32" i="1"/>
  <c r="AQ33" i="1" s="1"/>
  <c r="AQ34" i="1" s="1"/>
  <c r="AQ35" i="1" s="1"/>
  <c r="AQ36" i="1" s="1"/>
  <c r="I191" i="1"/>
  <c r="J191" i="1"/>
  <c r="CF191" i="1" s="1"/>
  <c r="CS191" i="1"/>
  <c r="CU191" i="1"/>
  <c r="DF191" i="1"/>
  <c r="DS191" i="1"/>
  <c r="DU191" i="1"/>
  <c r="EX191" i="1"/>
  <c r="FD191" i="1"/>
  <c r="FK191" i="1"/>
  <c r="I192" i="1"/>
  <c r="J192" i="1"/>
  <c r="CF192" i="1" s="1"/>
  <c r="CT192" i="1"/>
  <c r="DF192" i="1"/>
  <c r="DS192" i="1"/>
  <c r="DU192" i="1"/>
  <c r="EX192" i="1"/>
  <c r="FD192" i="1"/>
  <c r="FK192" i="1"/>
  <c r="CT135" i="1"/>
  <c r="FK158" i="1"/>
  <c r="FD158" i="1"/>
  <c r="EX158" i="1"/>
  <c r="DU158" i="1"/>
  <c r="DS158" i="1"/>
  <c r="DF158" i="1"/>
  <c r="CT158" i="1"/>
  <c r="J158" i="1"/>
  <c r="CF158" i="1" s="1"/>
  <c r="I158" i="1"/>
  <c r="FK114" i="1"/>
  <c r="FD114" i="1"/>
  <c r="EX114" i="1"/>
  <c r="DU114" i="1"/>
  <c r="DS114" i="1"/>
  <c r="DF114" i="1"/>
  <c r="CT114" i="1"/>
  <c r="J114" i="1"/>
  <c r="I114" i="1"/>
  <c r="C114" i="1"/>
  <c r="CU113" i="1"/>
  <c r="CS113" i="1"/>
  <c r="BH113" i="1"/>
  <c r="BH114" i="1" s="1"/>
  <c r="BG113" i="1"/>
  <c r="BG114" i="1" s="1"/>
  <c r="AR113" i="1"/>
  <c r="AR114" i="1" s="1"/>
  <c r="AQ113" i="1"/>
  <c r="AQ114" i="1" s="1"/>
  <c r="J113" i="1"/>
  <c r="CF113" i="1" s="1"/>
  <c r="I113" i="1"/>
  <c r="C113" i="1"/>
  <c r="FK112" i="1"/>
  <c r="FD112" i="1"/>
  <c r="EX112" i="1"/>
  <c r="DR112" i="1"/>
  <c r="DP112" i="1"/>
  <c r="DO112" i="1"/>
  <c r="DF112" i="1"/>
  <c r="DB112" i="1"/>
  <c r="DC112" i="1" s="1"/>
  <c r="AZ112" i="1"/>
  <c r="B112" i="1"/>
  <c r="CT164" i="1"/>
  <c r="CT163" i="1"/>
  <c r="CF114" i="1"/>
  <c r="FK140" i="1"/>
  <c r="FD140" i="1"/>
  <c r="EX140" i="1"/>
  <c r="DU140" i="1"/>
  <c r="DS140" i="1"/>
  <c r="DF140" i="1"/>
  <c r="CT140" i="1"/>
  <c r="FK138" i="1"/>
  <c r="FD138" i="1"/>
  <c r="EX138" i="1"/>
  <c r="DU138" i="1"/>
  <c r="DS138" i="1"/>
  <c r="DF138" i="1"/>
  <c r="CT138" i="1"/>
  <c r="FK137" i="1"/>
  <c r="FD137" i="1"/>
  <c r="EX137" i="1"/>
  <c r="DU137" i="1"/>
  <c r="DS137" i="1"/>
  <c r="DF137" i="1"/>
  <c r="CT137" i="1"/>
  <c r="FK136" i="1"/>
  <c r="FD136" i="1"/>
  <c r="EX136" i="1"/>
  <c r="DU136" i="1"/>
  <c r="DS136" i="1"/>
  <c r="DF136" i="1"/>
  <c r="CU136" i="1"/>
  <c r="CS136" i="1"/>
  <c r="BH136" i="1"/>
  <c r="BH137" i="1" s="1"/>
  <c r="BH138" i="1" s="1"/>
  <c r="BH139" i="1" s="1"/>
  <c r="BH140" i="1" s="1"/>
  <c r="BG136" i="1"/>
  <c r="BG137" i="1" s="1"/>
  <c r="BG138" i="1" s="1"/>
  <c r="BG139" i="1" s="1"/>
  <c r="BG140" i="1" s="1"/>
  <c r="AR136" i="1"/>
  <c r="AR137" i="1" s="1"/>
  <c r="AR138" i="1" s="1"/>
  <c r="AR139" i="1" s="1"/>
  <c r="AR140" i="1" s="1"/>
  <c r="AQ136" i="1"/>
  <c r="AQ137" i="1" s="1"/>
  <c r="AQ138" i="1" s="1"/>
  <c r="AQ139" i="1" s="1"/>
  <c r="AQ140" i="1" s="1"/>
  <c r="C136" i="1"/>
  <c r="C137" i="1" s="1"/>
  <c r="FK135" i="1"/>
  <c r="FJ135" i="1"/>
  <c r="FD135" i="1"/>
  <c r="FC135" i="1"/>
  <c r="EX135" i="1"/>
  <c r="EW135" i="1"/>
  <c r="EQ135" i="1"/>
  <c r="EK135" i="1"/>
  <c r="EE135" i="1"/>
  <c r="DZ135" i="1"/>
  <c r="DU135" i="1"/>
  <c r="DT135" i="1"/>
  <c r="DS135" i="1"/>
  <c r="DR135" i="1"/>
  <c r="DP135" i="1"/>
  <c r="DO135" i="1"/>
  <c r="DF135" i="1"/>
  <c r="DE135" i="1"/>
  <c r="DB135" i="1"/>
  <c r="DC135" i="1" s="1"/>
  <c r="AZ135" i="1"/>
  <c r="B135" i="1"/>
  <c r="FK161" i="1"/>
  <c r="FD161" i="1"/>
  <c r="EX161" i="1"/>
  <c r="DU161" i="1"/>
  <c r="DS161" i="1"/>
  <c r="DF161" i="1"/>
  <c r="CT161" i="1"/>
  <c r="J161" i="1"/>
  <c r="I161" i="1"/>
  <c r="BH155" i="1"/>
  <c r="BG155" i="1"/>
  <c r="BG156" i="1" s="1"/>
  <c r="BG157" i="1" s="1"/>
  <c r="BG158" i="1" s="1"/>
  <c r="BG159" i="1" s="1"/>
  <c r="BG160" i="1" s="1"/>
  <c r="BG161" i="1" s="1"/>
  <c r="BG162" i="1" s="1"/>
  <c r="AR155" i="1"/>
  <c r="AR156" i="1" s="1"/>
  <c r="AR157" i="1" s="1"/>
  <c r="AR158" i="1" s="1"/>
  <c r="AR159" i="1" s="1"/>
  <c r="AR160" i="1" s="1"/>
  <c r="AR161" i="1" s="1"/>
  <c r="AR162" i="1" s="1"/>
  <c r="AQ155" i="1"/>
  <c r="AQ156" i="1" s="1"/>
  <c r="AQ157" i="1" s="1"/>
  <c r="AQ158" i="1" s="1"/>
  <c r="AQ159" i="1" s="1"/>
  <c r="AQ160" i="1" s="1"/>
  <c r="AQ161" i="1" s="1"/>
  <c r="AQ162" i="1" s="1"/>
  <c r="J155" i="1"/>
  <c r="EX13" i="1"/>
  <c r="FD13" i="1"/>
  <c r="FK13" i="1"/>
  <c r="EX14" i="1"/>
  <c r="FD14" i="1"/>
  <c r="FK14" i="1"/>
  <c r="EX103" i="1"/>
  <c r="FD103" i="1"/>
  <c r="FK103" i="1"/>
  <c r="EX104" i="1"/>
  <c r="FD104" i="1"/>
  <c r="FK104" i="1"/>
  <c r="EX105" i="1"/>
  <c r="FD105" i="1"/>
  <c r="FK105" i="1"/>
  <c r="EX106" i="1"/>
  <c r="FD106" i="1"/>
  <c r="FK106" i="1"/>
  <c r="EX107" i="1"/>
  <c r="FD107" i="1"/>
  <c r="FK107" i="1"/>
  <c r="EX15" i="1"/>
  <c r="FD15" i="1"/>
  <c r="FK15" i="1"/>
  <c r="EX17" i="1"/>
  <c r="FD17" i="1"/>
  <c r="FK17" i="1"/>
  <c r="EX18" i="1"/>
  <c r="FD18" i="1"/>
  <c r="FK18" i="1"/>
  <c r="EX19" i="1"/>
  <c r="FD19" i="1"/>
  <c r="FK19" i="1"/>
  <c r="EX21" i="1"/>
  <c r="FD21" i="1"/>
  <c r="FK21" i="1"/>
  <c r="EX22" i="1"/>
  <c r="FD22" i="1"/>
  <c r="FK22" i="1"/>
  <c r="EX97" i="1"/>
  <c r="FD97" i="1"/>
  <c r="FK97" i="1"/>
  <c r="EX99" i="1"/>
  <c r="FD99" i="1"/>
  <c r="FK99" i="1"/>
  <c r="EX101" i="1"/>
  <c r="FD101" i="1"/>
  <c r="FK101" i="1"/>
  <c r="EX102" i="1"/>
  <c r="FD102" i="1"/>
  <c r="FK102" i="1"/>
  <c r="DZ123" i="1"/>
  <c r="EE123" i="1"/>
  <c r="EK123" i="1"/>
  <c r="EQ123" i="1"/>
  <c r="EW123" i="1"/>
  <c r="EX123" i="1"/>
  <c r="FC123" i="1"/>
  <c r="FD123" i="1"/>
  <c r="FJ123" i="1"/>
  <c r="FK123" i="1"/>
  <c r="EX125" i="1"/>
  <c r="FD125" i="1"/>
  <c r="FK125" i="1"/>
  <c r="EX126" i="1"/>
  <c r="FD126" i="1"/>
  <c r="FK126" i="1"/>
  <c r="DZ127" i="1"/>
  <c r="EE127" i="1"/>
  <c r="EK127" i="1"/>
  <c r="EQ127" i="1"/>
  <c r="EW127" i="1"/>
  <c r="EX127" i="1"/>
  <c r="FC127" i="1"/>
  <c r="FD127" i="1"/>
  <c r="FJ127" i="1"/>
  <c r="FK127" i="1"/>
  <c r="EX128" i="1"/>
  <c r="FD128" i="1"/>
  <c r="FK128" i="1"/>
  <c r="EX129" i="1"/>
  <c r="FD129" i="1"/>
  <c r="FK129" i="1"/>
  <c r="EX130" i="1"/>
  <c r="FD130" i="1"/>
  <c r="FK130" i="1"/>
  <c r="DZ27" i="1"/>
  <c r="EE27" i="1"/>
  <c r="EK27" i="1"/>
  <c r="EQ27" i="1"/>
  <c r="EW27" i="1"/>
  <c r="EX27" i="1"/>
  <c r="FC27" i="1"/>
  <c r="FD27" i="1"/>
  <c r="FJ27" i="1"/>
  <c r="FK27" i="1"/>
  <c r="EX29" i="1"/>
  <c r="FD29" i="1"/>
  <c r="FK29" i="1"/>
  <c r="EX30" i="1"/>
  <c r="FD30" i="1"/>
  <c r="FK30" i="1"/>
  <c r="DZ31" i="1"/>
  <c r="EE31" i="1"/>
  <c r="EK31" i="1"/>
  <c r="EQ31" i="1"/>
  <c r="EW31" i="1"/>
  <c r="EX31" i="1"/>
  <c r="FC31" i="1"/>
  <c r="FD31" i="1"/>
  <c r="FJ31" i="1"/>
  <c r="FK31" i="1"/>
  <c r="EX35" i="1"/>
  <c r="FD35" i="1"/>
  <c r="FK35" i="1"/>
  <c r="EX36" i="1"/>
  <c r="FD36" i="1"/>
  <c r="FK36" i="1"/>
  <c r="EX33" i="1"/>
  <c r="FD33" i="1"/>
  <c r="FK33" i="1"/>
  <c r="EX34" i="1"/>
  <c r="FD34" i="1"/>
  <c r="FK34" i="1"/>
  <c r="DZ37" i="1"/>
  <c r="EE37" i="1"/>
  <c r="EK37" i="1"/>
  <c r="EQ37" i="1"/>
  <c r="EW37" i="1"/>
  <c r="EX37" i="1"/>
  <c r="FC37" i="1"/>
  <c r="FD37" i="1"/>
  <c r="FJ37" i="1"/>
  <c r="FK37" i="1"/>
  <c r="EX39" i="1"/>
  <c r="FD39" i="1"/>
  <c r="FK39" i="1"/>
  <c r="EX40" i="1"/>
  <c r="FD40" i="1"/>
  <c r="FK40" i="1"/>
  <c r="DZ41" i="1"/>
  <c r="EE41" i="1"/>
  <c r="EK41" i="1"/>
  <c r="EQ41" i="1"/>
  <c r="EW41" i="1"/>
  <c r="EX41" i="1"/>
  <c r="FC41" i="1"/>
  <c r="FD41" i="1"/>
  <c r="FJ41" i="1"/>
  <c r="FK41" i="1"/>
  <c r="EX43" i="1"/>
  <c r="FD43" i="1"/>
  <c r="FK43" i="1"/>
  <c r="EX44" i="1"/>
  <c r="FD44" i="1"/>
  <c r="FK44" i="1"/>
  <c r="EX45" i="1"/>
  <c r="FD45" i="1"/>
  <c r="FK45" i="1"/>
  <c r="EX46" i="1"/>
  <c r="FD46" i="1"/>
  <c r="FK46" i="1"/>
  <c r="DZ145" i="1"/>
  <c r="EE145" i="1"/>
  <c r="EK145" i="1"/>
  <c r="EQ145" i="1"/>
  <c r="EW145" i="1"/>
  <c r="EX145" i="1"/>
  <c r="FC145" i="1"/>
  <c r="FD145" i="1"/>
  <c r="FJ145" i="1"/>
  <c r="FK145" i="1"/>
  <c r="EX147" i="1"/>
  <c r="FD147" i="1"/>
  <c r="FK147" i="1"/>
  <c r="EX150" i="1"/>
  <c r="FD150" i="1"/>
  <c r="FK150" i="1"/>
  <c r="EX151" i="1"/>
  <c r="FD151" i="1"/>
  <c r="FK151" i="1"/>
  <c r="EX152" i="1"/>
  <c r="FD152" i="1"/>
  <c r="FK152" i="1"/>
  <c r="DZ154" i="1"/>
  <c r="EE154" i="1"/>
  <c r="EK154" i="1"/>
  <c r="EQ154" i="1"/>
  <c r="EW154" i="1"/>
  <c r="EX154" i="1"/>
  <c r="FC154" i="1"/>
  <c r="FD154" i="1"/>
  <c r="FJ154" i="1"/>
  <c r="FK154" i="1"/>
  <c r="EX157" i="1"/>
  <c r="FD157" i="1"/>
  <c r="FK157" i="1"/>
  <c r="EX159" i="1"/>
  <c r="FD159" i="1"/>
  <c r="FK159" i="1"/>
  <c r="EX160" i="1"/>
  <c r="FD160" i="1"/>
  <c r="FK160" i="1"/>
  <c r="EX162" i="1"/>
  <c r="FD162" i="1"/>
  <c r="FK162" i="1"/>
  <c r="EX166" i="1"/>
  <c r="FD166" i="1"/>
  <c r="FK166" i="1"/>
  <c r="EX167" i="1"/>
  <c r="FD167" i="1"/>
  <c r="FK167" i="1"/>
  <c r="EX168" i="1"/>
  <c r="FD168" i="1"/>
  <c r="FK168" i="1"/>
  <c r="DZ169" i="1"/>
  <c r="EE169" i="1"/>
  <c r="EK169" i="1"/>
  <c r="EQ169" i="1"/>
  <c r="EW169" i="1"/>
  <c r="EX169" i="1"/>
  <c r="FC169" i="1"/>
  <c r="FD169" i="1"/>
  <c r="FJ169" i="1"/>
  <c r="FK169" i="1"/>
  <c r="EX170" i="1"/>
  <c r="FD170" i="1"/>
  <c r="FK170" i="1"/>
  <c r="EX171" i="1"/>
  <c r="FD171" i="1"/>
  <c r="FK171" i="1"/>
  <c r="EX172" i="1"/>
  <c r="FD172" i="1"/>
  <c r="FK172" i="1"/>
  <c r="DZ173" i="1"/>
  <c r="EE173" i="1"/>
  <c r="EK173" i="1"/>
  <c r="EQ173" i="1"/>
  <c r="EW173" i="1"/>
  <c r="EX173" i="1"/>
  <c r="FC173" i="1"/>
  <c r="FD173" i="1"/>
  <c r="FJ173" i="1"/>
  <c r="FK173" i="1"/>
  <c r="EX174" i="1"/>
  <c r="FD174" i="1"/>
  <c r="FK174" i="1"/>
  <c r="EX175" i="1"/>
  <c r="FD175" i="1"/>
  <c r="FK175" i="1"/>
  <c r="EX179" i="1"/>
  <c r="FD179" i="1"/>
  <c r="FK179" i="1"/>
  <c r="DZ180" i="1"/>
  <c r="EE180" i="1"/>
  <c r="EK180" i="1"/>
  <c r="EQ180" i="1"/>
  <c r="EW180" i="1"/>
  <c r="EX180" i="1"/>
  <c r="FC180" i="1"/>
  <c r="FD180" i="1"/>
  <c r="FJ180" i="1"/>
  <c r="FK180" i="1"/>
  <c r="EX182" i="1"/>
  <c r="FD182" i="1"/>
  <c r="FK182" i="1"/>
  <c r="EX183" i="1"/>
  <c r="FD183" i="1"/>
  <c r="FK183" i="1"/>
  <c r="EX184" i="1"/>
  <c r="FD184" i="1"/>
  <c r="FK184" i="1"/>
  <c r="EX185" i="1"/>
  <c r="FD185" i="1"/>
  <c r="FK185" i="1"/>
  <c r="DZ47" i="1"/>
  <c r="EE47" i="1"/>
  <c r="EK47" i="1"/>
  <c r="EQ47" i="1"/>
  <c r="EW47" i="1"/>
  <c r="EX47" i="1"/>
  <c r="FC47" i="1"/>
  <c r="FD47" i="1"/>
  <c r="FJ47" i="1"/>
  <c r="FK47" i="1"/>
  <c r="EX49" i="1"/>
  <c r="FD49" i="1"/>
  <c r="FK49" i="1"/>
  <c r="EX50" i="1"/>
  <c r="FD50" i="1"/>
  <c r="FK50" i="1"/>
  <c r="EX52" i="1"/>
  <c r="FD52" i="1"/>
  <c r="FK52" i="1"/>
  <c r="EX53" i="1"/>
  <c r="FD53" i="1"/>
  <c r="FK53" i="1"/>
  <c r="EX54" i="1"/>
  <c r="FD54" i="1"/>
  <c r="FK54" i="1"/>
  <c r="EX55" i="1"/>
  <c r="FD55" i="1"/>
  <c r="FK55" i="1"/>
  <c r="DZ186" i="1"/>
  <c r="EE186" i="1"/>
  <c r="EK186" i="1"/>
  <c r="EQ186" i="1"/>
  <c r="EW186" i="1"/>
  <c r="EX186" i="1"/>
  <c r="FC186" i="1"/>
  <c r="FD186" i="1"/>
  <c r="FJ186" i="1"/>
  <c r="FK186" i="1"/>
  <c r="EX187" i="1"/>
  <c r="FD187" i="1"/>
  <c r="FK187" i="1"/>
  <c r="EX188" i="1"/>
  <c r="FD188" i="1"/>
  <c r="FK188" i="1"/>
  <c r="EX189" i="1"/>
  <c r="FD189" i="1"/>
  <c r="FK189" i="1"/>
  <c r="EX190" i="1"/>
  <c r="FD190" i="1"/>
  <c r="FK190" i="1"/>
  <c r="DZ193" i="1"/>
  <c r="EE193" i="1"/>
  <c r="EK193" i="1"/>
  <c r="EQ193" i="1"/>
  <c r="EW193" i="1"/>
  <c r="EX193" i="1"/>
  <c r="FC193" i="1"/>
  <c r="FD193" i="1"/>
  <c r="FJ193" i="1"/>
  <c r="FK193" i="1"/>
  <c r="EX195" i="1"/>
  <c r="FD195" i="1"/>
  <c r="FK195" i="1"/>
  <c r="EX196" i="1"/>
  <c r="FD196" i="1"/>
  <c r="FK196" i="1"/>
  <c r="EX197" i="1"/>
  <c r="FD197" i="1"/>
  <c r="FK197" i="1"/>
  <c r="DZ198" i="1"/>
  <c r="EE198" i="1"/>
  <c r="EK198" i="1"/>
  <c r="EQ198" i="1"/>
  <c r="EW198" i="1"/>
  <c r="EX198" i="1"/>
  <c r="FC198" i="1"/>
  <c r="FD198" i="1"/>
  <c r="FJ198" i="1"/>
  <c r="FK198" i="1"/>
  <c r="EX199" i="1"/>
  <c r="FD199" i="1"/>
  <c r="FK199" i="1"/>
  <c r="EX200" i="1"/>
  <c r="FD200" i="1"/>
  <c r="FK200" i="1"/>
  <c r="EX201" i="1"/>
  <c r="FD201" i="1"/>
  <c r="FK201" i="1"/>
  <c r="EX202" i="1"/>
  <c r="FD202" i="1"/>
  <c r="FK202" i="1"/>
  <c r="DZ203" i="1"/>
  <c r="EE203" i="1"/>
  <c r="EK203" i="1"/>
  <c r="EQ203" i="1"/>
  <c r="EW203" i="1"/>
  <c r="EX203" i="1"/>
  <c r="FC203" i="1"/>
  <c r="FD203" i="1"/>
  <c r="FJ203" i="1"/>
  <c r="FK203" i="1"/>
  <c r="DZ238" i="1"/>
  <c r="EE238" i="1"/>
  <c r="EK238" i="1"/>
  <c r="EQ238" i="1"/>
  <c r="EW238" i="1"/>
  <c r="EX238" i="1"/>
  <c r="FC238" i="1"/>
  <c r="FD238" i="1"/>
  <c r="FJ238" i="1"/>
  <c r="FK238" i="1"/>
  <c r="EX240" i="1"/>
  <c r="FD240" i="1"/>
  <c r="FK240" i="1"/>
  <c r="DZ241" i="1"/>
  <c r="EE241" i="1"/>
  <c r="EK241" i="1"/>
  <c r="EQ241" i="1"/>
  <c r="EW241" i="1"/>
  <c r="EX241" i="1"/>
  <c r="FC241" i="1"/>
  <c r="FD241" i="1"/>
  <c r="FJ241" i="1"/>
  <c r="FK241" i="1"/>
  <c r="DZ243" i="1"/>
  <c r="EE243" i="1"/>
  <c r="EK243" i="1"/>
  <c r="EQ243" i="1"/>
  <c r="EW243" i="1"/>
  <c r="EX243" i="1"/>
  <c r="FC243" i="1"/>
  <c r="FD243" i="1"/>
  <c r="FJ243" i="1"/>
  <c r="FK243" i="1"/>
  <c r="EX245" i="1"/>
  <c r="FD245" i="1"/>
  <c r="FK245" i="1"/>
  <c r="DZ231" i="1"/>
  <c r="EE231" i="1"/>
  <c r="EK231" i="1"/>
  <c r="EQ231" i="1"/>
  <c r="EW231" i="1"/>
  <c r="EX231" i="1"/>
  <c r="FC231" i="1"/>
  <c r="FD231" i="1"/>
  <c r="FJ231" i="1"/>
  <c r="FK231" i="1"/>
  <c r="EX232" i="1"/>
  <c r="FD232" i="1"/>
  <c r="FK232" i="1"/>
  <c r="EX233" i="1"/>
  <c r="FD233" i="1"/>
  <c r="FK233" i="1"/>
  <c r="EX234" i="1"/>
  <c r="FD234" i="1"/>
  <c r="FK234" i="1"/>
  <c r="EX235" i="1"/>
  <c r="FD235" i="1"/>
  <c r="FK235" i="1"/>
  <c r="DZ205" i="1"/>
  <c r="EE205" i="1"/>
  <c r="EK205" i="1"/>
  <c r="EQ205" i="1"/>
  <c r="EW205" i="1"/>
  <c r="EX205" i="1"/>
  <c r="FC205" i="1"/>
  <c r="FD205" i="1"/>
  <c r="FJ205" i="1"/>
  <c r="FK205" i="1"/>
  <c r="EX208" i="1"/>
  <c r="FD208" i="1"/>
  <c r="FK208" i="1"/>
  <c r="DZ209" i="1"/>
  <c r="EE209" i="1"/>
  <c r="EK209" i="1"/>
  <c r="EQ209" i="1"/>
  <c r="EW209" i="1"/>
  <c r="EX209" i="1"/>
  <c r="FC209" i="1"/>
  <c r="FD209" i="1"/>
  <c r="FJ209" i="1"/>
  <c r="FK209" i="1"/>
  <c r="DZ212" i="1"/>
  <c r="EE212" i="1"/>
  <c r="EK212" i="1"/>
  <c r="EQ212" i="1"/>
  <c r="EW212" i="1"/>
  <c r="EX212" i="1"/>
  <c r="FC212" i="1"/>
  <c r="FD212" i="1"/>
  <c r="FJ212" i="1"/>
  <c r="FK212" i="1"/>
  <c r="EX213" i="1"/>
  <c r="FD213" i="1"/>
  <c r="FK213" i="1"/>
  <c r="EX217" i="1"/>
  <c r="FD217" i="1"/>
  <c r="FK217" i="1"/>
  <c r="EX218" i="1"/>
  <c r="FD218" i="1"/>
  <c r="FK218" i="1"/>
  <c r="DZ219" i="1"/>
  <c r="EE219" i="1"/>
  <c r="EK219" i="1"/>
  <c r="EQ219" i="1"/>
  <c r="EW219" i="1"/>
  <c r="EX219" i="1"/>
  <c r="FC219" i="1"/>
  <c r="FD219" i="1"/>
  <c r="FJ219" i="1"/>
  <c r="FK219" i="1"/>
  <c r="EX221" i="1"/>
  <c r="FD221" i="1"/>
  <c r="FK221" i="1"/>
  <c r="EX222" i="1"/>
  <c r="FD222" i="1"/>
  <c r="FK222" i="1"/>
  <c r="DZ223" i="1"/>
  <c r="EE223" i="1"/>
  <c r="EK223" i="1"/>
  <c r="EQ223" i="1"/>
  <c r="EW223" i="1"/>
  <c r="EX223" i="1"/>
  <c r="FC223" i="1"/>
  <c r="FD223" i="1"/>
  <c r="FJ223" i="1"/>
  <c r="FK223" i="1"/>
  <c r="DZ236" i="1"/>
  <c r="EE236" i="1"/>
  <c r="EK236" i="1"/>
  <c r="EQ236" i="1"/>
  <c r="EW236" i="1"/>
  <c r="EX236" i="1"/>
  <c r="FC236" i="1"/>
  <c r="FD236" i="1"/>
  <c r="FJ236" i="1"/>
  <c r="FK236" i="1"/>
  <c r="DZ266" i="1"/>
  <c r="EE266" i="1"/>
  <c r="EK266" i="1"/>
  <c r="EQ266" i="1"/>
  <c r="EW266" i="1"/>
  <c r="EX266" i="1"/>
  <c r="FC266" i="1"/>
  <c r="FD266" i="1"/>
  <c r="FJ266" i="1"/>
  <c r="FK266" i="1"/>
  <c r="EX267" i="1"/>
  <c r="FD267" i="1"/>
  <c r="FK267" i="1"/>
  <c r="EX271" i="1"/>
  <c r="FD271" i="1"/>
  <c r="FK271" i="1"/>
  <c r="C232" i="1"/>
  <c r="C233" i="1" s="1"/>
  <c r="C234" i="1" s="1"/>
  <c r="C235" i="1" s="1"/>
  <c r="DU179" i="1"/>
  <c r="DS179" i="1"/>
  <c r="DF179" i="1"/>
  <c r="CT179" i="1"/>
  <c r="J179" i="1"/>
  <c r="CH179" i="1" s="1"/>
  <c r="I179" i="1"/>
  <c r="DU175" i="1"/>
  <c r="DS175" i="1"/>
  <c r="DF175" i="1"/>
  <c r="CT175" i="1"/>
  <c r="J175" i="1"/>
  <c r="CF175" i="1" s="1"/>
  <c r="I175" i="1"/>
  <c r="DU174" i="1"/>
  <c r="DS174" i="1"/>
  <c r="DF174" i="1"/>
  <c r="CU174" i="1"/>
  <c r="CS174" i="1"/>
  <c r="AR174" i="1"/>
  <c r="AR175" i="1" s="1"/>
  <c r="AR176" i="1" s="1"/>
  <c r="AR177" i="1" s="1"/>
  <c r="AR178" i="1" s="1"/>
  <c r="AR179" i="1" s="1"/>
  <c r="AQ174" i="1"/>
  <c r="AQ175" i="1" s="1"/>
  <c r="AQ176" i="1" s="1"/>
  <c r="AQ177" i="1" s="1"/>
  <c r="AQ178" i="1" s="1"/>
  <c r="AQ179" i="1" s="1"/>
  <c r="J174" i="1"/>
  <c r="CH174" i="1" s="1"/>
  <c r="I174" i="1"/>
  <c r="C174" i="1"/>
  <c r="C177" i="1" s="1"/>
  <c r="DU173" i="1"/>
  <c r="DT173" i="1"/>
  <c r="DS173" i="1"/>
  <c r="DR173" i="1"/>
  <c r="DP173" i="1"/>
  <c r="DO173" i="1"/>
  <c r="DF173" i="1"/>
  <c r="DE173" i="1"/>
  <c r="CT173" i="1"/>
  <c r="DB173" i="1"/>
  <c r="DC173" i="1" s="1"/>
  <c r="AZ173" i="1"/>
  <c r="B173" i="1"/>
  <c r="DU187" i="1"/>
  <c r="DS187" i="1"/>
  <c r="DF187" i="1"/>
  <c r="I187" i="1"/>
  <c r="DU190" i="1"/>
  <c r="DS190" i="1"/>
  <c r="DF190" i="1"/>
  <c r="CT190" i="1"/>
  <c r="J190" i="1"/>
  <c r="CF190" i="1" s="1"/>
  <c r="I190" i="1"/>
  <c r="DU189" i="1"/>
  <c r="DS189" i="1"/>
  <c r="DF189" i="1"/>
  <c r="CT189" i="1"/>
  <c r="J189" i="1"/>
  <c r="I189" i="1"/>
  <c r="DU188" i="1"/>
  <c r="DS188" i="1"/>
  <c r="DF188" i="1"/>
  <c r="CT188" i="1"/>
  <c r="J188" i="1"/>
  <c r="I188" i="1"/>
  <c r="DU186" i="1"/>
  <c r="DT186" i="1"/>
  <c r="DS186" i="1"/>
  <c r="DR186" i="1"/>
  <c r="DP186" i="1"/>
  <c r="DO186" i="1"/>
  <c r="DF186" i="1"/>
  <c r="DE186" i="1"/>
  <c r="CT186" i="1"/>
  <c r="DB186" i="1"/>
  <c r="DC186" i="1" s="1"/>
  <c r="AZ186" i="1"/>
  <c r="B186" i="1"/>
  <c r="BH156" i="1"/>
  <c r="BH157" i="1" s="1"/>
  <c r="BH158" i="1" s="1"/>
  <c r="BH159" i="1" s="1"/>
  <c r="BH160" i="1" s="1"/>
  <c r="BH161" i="1" s="1"/>
  <c r="BH162" i="1" s="1"/>
  <c r="FN15" i="1"/>
  <c r="FO15" i="1"/>
  <c r="FF15" i="1"/>
  <c r="EU15" i="1"/>
  <c r="EV15" i="1"/>
  <c r="FG15" i="1"/>
  <c r="FA15" i="1"/>
  <c r="FI15" i="1"/>
  <c r="FB15" i="1"/>
  <c r="EN15" i="1"/>
  <c r="EI15" i="1"/>
  <c r="EO15" i="1"/>
  <c r="EJ15" i="1"/>
  <c r="EP15" i="1"/>
  <c r="DW15" i="1"/>
  <c r="DX15" i="1"/>
  <c r="EB15" i="1"/>
  <c r="EC15" i="1"/>
  <c r="ED15" i="1"/>
  <c r="EH15" i="1"/>
  <c r="DV15" i="1"/>
  <c r="DI15" i="1"/>
  <c r="DJ15" i="1"/>
  <c r="DK15" i="1"/>
  <c r="DL15" i="1"/>
  <c r="DM15" i="1"/>
  <c r="J136" i="1"/>
  <c r="I136" i="1"/>
  <c r="I155" i="1"/>
  <c r="DU172" i="1"/>
  <c r="DS172" i="1"/>
  <c r="DF172" i="1"/>
  <c r="CT172" i="1"/>
  <c r="DU171" i="1"/>
  <c r="DS171" i="1"/>
  <c r="DF171" i="1"/>
  <c r="CT171" i="1"/>
  <c r="C171" i="1"/>
  <c r="DU170" i="1"/>
  <c r="DS170" i="1"/>
  <c r="DF170" i="1"/>
  <c r="CU170" i="1"/>
  <c r="CS170" i="1"/>
  <c r="CR170" i="1" s="1"/>
  <c r="AR170" i="1"/>
  <c r="AR171" i="1" s="1"/>
  <c r="AR172" i="1" s="1"/>
  <c r="AQ170" i="1"/>
  <c r="AQ171" i="1" s="1"/>
  <c r="AQ172" i="1" s="1"/>
  <c r="J170" i="1"/>
  <c r="CF170" i="1" s="1"/>
  <c r="I170" i="1"/>
  <c r="C170" i="1"/>
  <c r="C172" i="1" s="1"/>
  <c r="DU169" i="1"/>
  <c r="DT169" i="1"/>
  <c r="DS169" i="1"/>
  <c r="DR169" i="1"/>
  <c r="DP169" i="1"/>
  <c r="DO169" i="1"/>
  <c r="DF169" i="1"/>
  <c r="DE169" i="1"/>
  <c r="CT169" i="1"/>
  <c r="DB169" i="1"/>
  <c r="DC169" i="1" s="1"/>
  <c r="AZ169" i="1"/>
  <c r="B169" i="1"/>
  <c r="DU130" i="1"/>
  <c r="DS130" i="1"/>
  <c r="DF130" i="1"/>
  <c r="CT130" i="1"/>
  <c r="J130" i="1"/>
  <c r="CF130" i="1" s="1"/>
  <c r="I130" i="1"/>
  <c r="DU129" i="1"/>
  <c r="DS129" i="1"/>
  <c r="DF129" i="1"/>
  <c r="CT129" i="1"/>
  <c r="J129" i="1"/>
  <c r="I129" i="1"/>
  <c r="C129" i="1"/>
  <c r="DU128" i="1"/>
  <c r="DS128" i="1"/>
  <c r="DF128" i="1"/>
  <c r="CU128" i="1"/>
  <c r="CS128" i="1"/>
  <c r="CR128" i="1" s="1"/>
  <c r="BH128" i="1"/>
  <c r="BH129" i="1" s="1"/>
  <c r="BH130" i="1" s="1"/>
  <c r="BG128" i="1"/>
  <c r="BG129" i="1" s="1"/>
  <c r="BG130" i="1" s="1"/>
  <c r="AR128" i="1"/>
  <c r="AR129" i="1" s="1"/>
  <c r="AR130" i="1" s="1"/>
  <c r="AQ128" i="1"/>
  <c r="AQ129" i="1" s="1"/>
  <c r="AQ130" i="1" s="1"/>
  <c r="J128" i="1"/>
  <c r="I128" i="1"/>
  <c r="C128" i="1"/>
  <c r="C130" i="1" s="1"/>
  <c r="DU127" i="1"/>
  <c r="DT127" i="1"/>
  <c r="DS127" i="1"/>
  <c r="DR127" i="1"/>
  <c r="DP127" i="1"/>
  <c r="DO127" i="1"/>
  <c r="DF127" i="1"/>
  <c r="DE127" i="1"/>
  <c r="CT127" i="1"/>
  <c r="DB127" i="1"/>
  <c r="DC127" i="1" s="1"/>
  <c r="AZ127" i="1"/>
  <c r="B127" i="1"/>
  <c r="DU44" i="1"/>
  <c r="DS44" i="1"/>
  <c r="DF44" i="1"/>
  <c r="CT44" i="1"/>
  <c r="J44" i="1"/>
  <c r="CH44" i="1" s="1"/>
  <c r="I44" i="1"/>
  <c r="DU45" i="1"/>
  <c r="DS45" i="1"/>
  <c r="DF45" i="1"/>
  <c r="CT45" i="1"/>
  <c r="C45" i="1"/>
  <c r="DU50" i="1"/>
  <c r="DS50" i="1"/>
  <c r="DF50" i="1"/>
  <c r="CT50" i="1"/>
  <c r="DU54" i="1"/>
  <c r="DS54" i="1"/>
  <c r="DF54" i="1"/>
  <c r="CT54" i="1"/>
  <c r="DU53" i="1"/>
  <c r="DS53" i="1"/>
  <c r="DF53" i="1"/>
  <c r="CT53" i="1"/>
  <c r="DU52" i="1"/>
  <c r="DS52" i="1"/>
  <c r="DF52" i="1"/>
  <c r="CT52" i="1"/>
  <c r="FM15" i="1"/>
  <c r="EZ15" i="1"/>
  <c r="ET15" i="1"/>
  <c r="EG15" i="1"/>
  <c r="FH15" i="1"/>
  <c r="EM15" i="1"/>
  <c r="I140" i="1"/>
  <c r="J140" i="1"/>
  <c r="CF140" i="1" s="1"/>
  <c r="DH15" i="1"/>
  <c r="DG15" i="1" s="1"/>
  <c r="J137" i="1"/>
  <c r="CF137" i="1" s="1"/>
  <c r="I137" i="1"/>
  <c r="DU105" i="1"/>
  <c r="DS105" i="1"/>
  <c r="DF105" i="1"/>
  <c r="CT105" i="1"/>
  <c r="J105" i="1"/>
  <c r="I105" i="1"/>
  <c r="DU184" i="1"/>
  <c r="DS184" i="1"/>
  <c r="DF184" i="1"/>
  <c r="CT184" i="1"/>
  <c r="J184" i="1"/>
  <c r="CF184" i="1" s="1"/>
  <c r="I184" i="1"/>
  <c r="DU217" i="1"/>
  <c r="DS217" i="1"/>
  <c r="DF217" i="1"/>
  <c r="CT217" i="1"/>
  <c r="J217" i="1"/>
  <c r="I217" i="1"/>
  <c r="AR28" i="1"/>
  <c r="AR29" i="1" s="1"/>
  <c r="AR30" i="1" s="1"/>
  <c r="AQ28" i="1"/>
  <c r="AQ29" i="1" s="1"/>
  <c r="AQ30" i="1" s="1"/>
  <c r="AQ20" i="1"/>
  <c r="AQ21" i="1" s="1"/>
  <c r="AQ22" i="1" s="1"/>
  <c r="AR20" i="1"/>
  <c r="AR21" i="1" s="1"/>
  <c r="AR22" i="1" s="1"/>
  <c r="CT13" i="1"/>
  <c r="BC163" i="1"/>
  <c r="BE163" i="1"/>
  <c r="BE108" i="1"/>
  <c r="BE141" i="1"/>
  <c r="BE164" i="1"/>
  <c r="BE23" i="1"/>
  <c r="BE249" i="1"/>
  <c r="BE256" i="1"/>
  <c r="BE153" i="1"/>
  <c r="BE131" i="1"/>
  <c r="BC119" i="1"/>
  <c r="BE112" i="1"/>
  <c r="BE119" i="1"/>
  <c r="DK180" i="1"/>
  <c r="DM180" i="1"/>
  <c r="DL180" i="1"/>
  <c r="DJ180" i="1"/>
  <c r="DI180" i="1"/>
  <c r="DJ173" i="1"/>
  <c r="DK173" i="1"/>
  <c r="DI135" i="1"/>
  <c r="DJ135" i="1"/>
  <c r="DK135" i="1"/>
  <c r="DL135" i="1"/>
  <c r="DM135" i="1"/>
  <c r="J138" i="1"/>
  <c r="CF138" i="1" s="1"/>
  <c r="I138" i="1"/>
  <c r="BE173" i="1"/>
  <c r="BE135" i="1"/>
  <c r="BE11" i="1"/>
  <c r="BE169" i="1"/>
  <c r="BE186" i="1"/>
  <c r="DM173" i="1"/>
  <c r="BE127" i="1"/>
  <c r="BE193" i="1"/>
  <c r="BE205" i="1"/>
  <c r="BE37" i="1"/>
  <c r="BE212" i="1"/>
  <c r="BE41" i="1"/>
  <c r="BE266" i="1"/>
  <c r="BE31" i="1"/>
  <c r="BE145" i="1"/>
  <c r="BE19" i="1"/>
  <c r="BE198" i="1"/>
  <c r="BE180" i="1"/>
  <c r="BE231" i="1"/>
  <c r="BE27" i="1"/>
  <c r="BE243" i="1"/>
  <c r="BE123" i="1"/>
  <c r="BE15" i="1"/>
  <c r="BE47" i="1"/>
  <c r="BE241" i="1"/>
  <c r="BE223" i="1"/>
  <c r="BE97" i="1"/>
  <c r="BE238" i="1"/>
  <c r="BE103" i="1"/>
  <c r="BE219" i="1"/>
  <c r="BE209" i="1"/>
  <c r="BE154" i="1"/>
  <c r="BC266" i="1"/>
  <c r="BC19" i="1"/>
  <c r="BC97" i="1"/>
  <c r="BC219" i="1"/>
  <c r="BC31" i="1"/>
  <c r="BC47" i="1"/>
  <c r="BC193" i="1"/>
  <c r="AL232" i="1"/>
  <c r="AL233" i="1" s="1"/>
  <c r="AL234" i="1" s="1"/>
  <c r="AL235" i="1" s="1"/>
  <c r="DU107" i="1"/>
  <c r="DS107" i="1"/>
  <c r="DF107" i="1"/>
  <c r="CT107" i="1"/>
  <c r="J107" i="1"/>
  <c r="CF107" i="1" s="1"/>
  <c r="I107" i="1"/>
  <c r="DU106" i="1"/>
  <c r="DS106" i="1"/>
  <c r="DF106" i="1"/>
  <c r="CT106" i="1"/>
  <c r="J106" i="1"/>
  <c r="CI106" i="1" s="1"/>
  <c r="I106" i="1"/>
  <c r="DU104" i="1"/>
  <c r="DS104" i="1"/>
  <c r="DF104" i="1"/>
  <c r="CU104" i="1"/>
  <c r="CS104" i="1"/>
  <c r="BH104" i="1"/>
  <c r="BH105" i="1" s="1"/>
  <c r="BH106" i="1" s="1"/>
  <c r="BH107" i="1" s="1"/>
  <c r="BG104" i="1"/>
  <c r="BG105" i="1" s="1"/>
  <c r="BG106" i="1" s="1"/>
  <c r="BG107" i="1" s="1"/>
  <c r="AR104" i="1"/>
  <c r="AR105" i="1" s="1"/>
  <c r="AR106" i="1" s="1"/>
  <c r="AR107" i="1" s="1"/>
  <c r="AQ104" i="1"/>
  <c r="AQ105" i="1" s="1"/>
  <c r="AQ106" i="1" s="1"/>
  <c r="AQ107" i="1" s="1"/>
  <c r="J104" i="1"/>
  <c r="I104" i="1"/>
  <c r="C104" i="1"/>
  <c r="C105" i="1" s="1"/>
  <c r="C106" i="1" s="1"/>
  <c r="C107" i="1" s="1"/>
  <c r="DU103" i="1"/>
  <c r="DS103" i="1"/>
  <c r="DR103" i="1"/>
  <c r="DP103" i="1"/>
  <c r="DO103" i="1"/>
  <c r="DF103" i="1"/>
  <c r="CT103" i="1"/>
  <c r="DB103" i="1"/>
  <c r="DC103" i="1" s="1"/>
  <c r="AZ103" i="1"/>
  <c r="B103" i="1"/>
  <c r="DI173" i="1"/>
  <c r="DH180" i="1"/>
  <c r="DG180" i="1" s="1"/>
  <c r="DL173" i="1"/>
  <c r="DH135" i="1"/>
  <c r="DG135" i="1" s="1"/>
  <c r="DH173" i="1"/>
  <c r="DG173" i="1" s="1"/>
  <c r="DI112" i="1"/>
  <c r="DJ112" i="1"/>
  <c r="DK112" i="1"/>
  <c r="DL112" i="1"/>
  <c r="DM112" i="1"/>
  <c r="DT112" i="1"/>
  <c r="DZ15" i="1"/>
  <c r="DZ112" i="1"/>
  <c r="DH112" i="1"/>
  <c r="DG112" i="1" s="1"/>
  <c r="DE112" i="1"/>
  <c r="FJ112" i="1"/>
  <c r="FC112" i="1"/>
  <c r="EE15" i="1"/>
  <c r="EE112" i="1"/>
  <c r="FC15" i="1"/>
  <c r="EK15" i="1"/>
  <c r="EW15" i="1"/>
  <c r="EW112" i="1"/>
  <c r="EQ112" i="1"/>
  <c r="EK112" i="1"/>
  <c r="FJ15" i="1"/>
  <c r="EQ15" i="1"/>
  <c r="CT14" i="1"/>
  <c r="CT15" i="1"/>
  <c r="CT17" i="1"/>
  <c r="CT18" i="1"/>
  <c r="CT19" i="1"/>
  <c r="CT21" i="1"/>
  <c r="CT22" i="1"/>
  <c r="CT27" i="1"/>
  <c r="CT28" i="1"/>
  <c r="CT29" i="1"/>
  <c r="CT30" i="1"/>
  <c r="CT31" i="1"/>
  <c r="CT35" i="1"/>
  <c r="CT36" i="1"/>
  <c r="CT33" i="1"/>
  <c r="CT34" i="1"/>
  <c r="CT37" i="1"/>
  <c r="CT39" i="1"/>
  <c r="CT40" i="1"/>
  <c r="CT41" i="1"/>
  <c r="CT43" i="1"/>
  <c r="CT46" i="1"/>
  <c r="CT154" i="1"/>
  <c r="CT157" i="1"/>
  <c r="CT159" i="1"/>
  <c r="CT160" i="1"/>
  <c r="CT162" i="1"/>
  <c r="CT47" i="1"/>
  <c r="CT49" i="1"/>
  <c r="CT55" i="1"/>
  <c r="CT203" i="1"/>
  <c r="CT238" i="1"/>
  <c r="CT240" i="1"/>
  <c r="CT241" i="1"/>
  <c r="CT242" i="1"/>
  <c r="CT243" i="1"/>
  <c r="CT245" i="1"/>
  <c r="CT204" i="1"/>
  <c r="CT231" i="1"/>
  <c r="CT233" i="1"/>
  <c r="CT234" i="1"/>
  <c r="CT235" i="1"/>
  <c r="CT205" i="1"/>
  <c r="CT207" i="1"/>
  <c r="CT208" i="1"/>
  <c r="CT209" i="1"/>
  <c r="CT211" i="1"/>
  <c r="CT212" i="1"/>
  <c r="CT214" i="1"/>
  <c r="CT215" i="1"/>
  <c r="CT218" i="1"/>
  <c r="CT219" i="1"/>
  <c r="CT221" i="1"/>
  <c r="CT222" i="1"/>
  <c r="CT223" i="1"/>
  <c r="CT226" i="1"/>
  <c r="CT236" i="1"/>
  <c r="CT198" i="1"/>
  <c r="CT200" i="1"/>
  <c r="CT201" i="1"/>
  <c r="CT202" i="1"/>
  <c r="CT97" i="1"/>
  <c r="CT99" i="1"/>
  <c r="CT101" i="1"/>
  <c r="CT102" i="1"/>
  <c r="CT123" i="1"/>
  <c r="CT125" i="1"/>
  <c r="CT126" i="1"/>
  <c r="CT145" i="1"/>
  <c r="CT147" i="1"/>
  <c r="CT148" i="1"/>
  <c r="CT149" i="1"/>
  <c r="CT150" i="1"/>
  <c r="CT151" i="1"/>
  <c r="CT152" i="1"/>
  <c r="CT166" i="1"/>
  <c r="CT167" i="1"/>
  <c r="CT168" i="1"/>
  <c r="CT180" i="1"/>
  <c r="CT182" i="1"/>
  <c r="CT183" i="1"/>
  <c r="CT185" i="1"/>
  <c r="CT266" i="1"/>
  <c r="CT269" i="1"/>
  <c r="CT271" i="1"/>
  <c r="CT193" i="1"/>
  <c r="CT195" i="1"/>
  <c r="CT196" i="1"/>
  <c r="CT197" i="1"/>
  <c r="CZ239" i="1"/>
  <c r="DO193" i="1"/>
  <c r="DO266" i="1"/>
  <c r="DO180" i="1"/>
  <c r="DO145" i="1"/>
  <c r="DO123" i="1"/>
  <c r="DO97" i="1"/>
  <c r="DO198" i="1"/>
  <c r="DO236" i="1"/>
  <c r="DO223" i="1"/>
  <c r="DO219" i="1"/>
  <c r="DO212" i="1"/>
  <c r="DO209" i="1"/>
  <c r="DO205" i="1"/>
  <c r="DO231" i="1"/>
  <c r="DO243" i="1"/>
  <c r="DO238" i="1"/>
  <c r="DO47" i="1"/>
  <c r="DO154" i="1"/>
  <c r="DO41" i="1"/>
  <c r="DO37" i="1"/>
  <c r="DO31" i="1"/>
  <c r="DO27" i="1"/>
  <c r="DO19" i="1"/>
  <c r="DO15" i="1"/>
  <c r="DO241" i="1"/>
  <c r="DE193" i="1"/>
  <c r="DE266" i="1"/>
  <c r="DE180" i="1"/>
  <c r="DE145" i="1"/>
  <c r="DE123" i="1"/>
  <c r="DE198" i="1"/>
  <c r="DE236" i="1"/>
  <c r="DE223" i="1"/>
  <c r="DE219" i="1"/>
  <c r="DE212" i="1"/>
  <c r="DE209" i="1"/>
  <c r="DE205" i="1"/>
  <c r="DE231" i="1"/>
  <c r="DE243" i="1"/>
  <c r="DE238" i="1"/>
  <c r="DE203" i="1"/>
  <c r="DE47" i="1"/>
  <c r="DE154" i="1"/>
  <c r="DE41" i="1"/>
  <c r="DE37" i="1"/>
  <c r="DE31" i="1"/>
  <c r="DE27" i="1"/>
  <c r="DE15" i="1"/>
  <c r="DE241" i="1"/>
  <c r="FD11" i="1"/>
  <c r="EX11" i="1"/>
  <c r="FK11" i="1"/>
  <c r="DF11" i="1"/>
  <c r="DF13" i="1"/>
  <c r="DF14" i="1"/>
  <c r="DF241" i="1"/>
  <c r="DF15" i="1"/>
  <c r="DF17" i="1"/>
  <c r="DF18" i="1"/>
  <c r="DF19" i="1"/>
  <c r="DF21" i="1"/>
  <c r="DF22" i="1"/>
  <c r="DF27" i="1"/>
  <c r="DF29" i="1"/>
  <c r="DF30" i="1"/>
  <c r="DF31" i="1"/>
  <c r="DF35" i="1"/>
  <c r="DF33" i="1"/>
  <c r="DF34" i="1"/>
  <c r="DF37" i="1"/>
  <c r="DF39" i="1"/>
  <c r="DF40" i="1"/>
  <c r="DF41" i="1"/>
  <c r="DF43" i="1"/>
  <c r="DF46" i="1"/>
  <c r="DF154" i="1"/>
  <c r="DF157" i="1"/>
  <c r="DF159" i="1"/>
  <c r="DF160" i="1"/>
  <c r="DF162" i="1"/>
  <c r="DF47" i="1"/>
  <c r="DF49" i="1"/>
  <c r="DF55" i="1"/>
  <c r="DF203" i="1"/>
  <c r="DF238" i="1"/>
  <c r="DF240" i="1"/>
  <c r="DF243" i="1"/>
  <c r="DF245" i="1"/>
  <c r="DF231" i="1"/>
  <c r="DF232" i="1"/>
  <c r="DF233" i="1"/>
  <c r="DF234" i="1"/>
  <c r="DF235" i="1"/>
  <c r="DF205" i="1"/>
  <c r="DF208" i="1"/>
  <c r="DF209" i="1"/>
  <c r="DF212" i="1"/>
  <c r="DF213" i="1"/>
  <c r="DF218" i="1"/>
  <c r="DF219" i="1"/>
  <c r="DF221" i="1"/>
  <c r="DF222" i="1"/>
  <c r="DF223" i="1"/>
  <c r="DF236" i="1"/>
  <c r="DF198" i="1"/>
  <c r="DF199" i="1"/>
  <c r="DF200" i="1"/>
  <c r="DF201" i="1"/>
  <c r="DF202" i="1"/>
  <c r="DF97" i="1"/>
  <c r="DF99" i="1"/>
  <c r="DF101" i="1"/>
  <c r="DF102" i="1"/>
  <c r="DF123" i="1"/>
  <c r="DF125" i="1"/>
  <c r="DF126" i="1"/>
  <c r="DF145" i="1"/>
  <c r="DF147" i="1"/>
  <c r="DF150" i="1"/>
  <c r="DF151" i="1"/>
  <c r="DF152" i="1"/>
  <c r="DF166" i="1"/>
  <c r="DF167" i="1"/>
  <c r="DF168" i="1"/>
  <c r="DF180" i="1"/>
  <c r="DF182" i="1"/>
  <c r="DF183" i="1"/>
  <c r="DF185" i="1"/>
  <c r="DF266" i="1"/>
  <c r="DF267" i="1"/>
  <c r="DF271" i="1"/>
  <c r="DF193" i="1"/>
  <c r="DF195" i="1"/>
  <c r="DF196" i="1"/>
  <c r="DF197" i="1"/>
  <c r="BH242" i="1"/>
  <c r="BG242" i="1"/>
  <c r="AR242" i="1"/>
  <c r="AQ242" i="1"/>
  <c r="J242" i="1"/>
  <c r="I242" i="1"/>
  <c r="C242" i="1"/>
  <c r="DU241" i="1"/>
  <c r="DT241" i="1"/>
  <c r="DS241" i="1"/>
  <c r="DR241" i="1"/>
  <c r="DP241" i="1"/>
  <c r="DB241" i="1"/>
  <c r="DC241" i="1" s="1"/>
  <c r="AZ241" i="1"/>
  <c r="B241" i="1"/>
  <c r="DU231" i="1"/>
  <c r="DU232" i="1"/>
  <c r="DU233" i="1"/>
  <c r="DU234" i="1"/>
  <c r="DU235" i="1"/>
  <c r="DU205" i="1"/>
  <c r="DU208" i="1"/>
  <c r="DU209" i="1"/>
  <c r="DU212" i="1"/>
  <c r="DU213" i="1"/>
  <c r="DU218" i="1"/>
  <c r="DU219" i="1"/>
  <c r="DU221" i="1"/>
  <c r="DU222" i="1"/>
  <c r="DU223" i="1"/>
  <c r="DU236" i="1"/>
  <c r="DU198" i="1"/>
  <c r="DU199" i="1"/>
  <c r="DU200" i="1"/>
  <c r="DU201" i="1"/>
  <c r="DU202" i="1"/>
  <c r="DU97" i="1"/>
  <c r="DU99" i="1"/>
  <c r="DU101" i="1"/>
  <c r="DU102" i="1"/>
  <c r="DU123" i="1"/>
  <c r="DU125" i="1"/>
  <c r="DU126" i="1"/>
  <c r="DU145" i="1"/>
  <c r="DU147" i="1"/>
  <c r="DU150" i="1"/>
  <c r="DU151" i="1"/>
  <c r="DU152" i="1"/>
  <c r="DU166" i="1"/>
  <c r="DU167" i="1"/>
  <c r="DU168" i="1"/>
  <c r="DU180" i="1"/>
  <c r="DU182" i="1"/>
  <c r="DU183" i="1"/>
  <c r="DU185" i="1"/>
  <c r="DU266" i="1"/>
  <c r="DU267" i="1"/>
  <c r="DU271" i="1"/>
  <c r="DU193" i="1"/>
  <c r="DU195" i="1"/>
  <c r="DU196" i="1"/>
  <c r="DU197" i="1"/>
  <c r="DT15" i="1"/>
  <c r="DT27" i="1"/>
  <c r="DT31" i="1"/>
  <c r="DT37" i="1"/>
  <c r="DT41" i="1"/>
  <c r="DT154" i="1"/>
  <c r="DT47" i="1"/>
  <c r="DT203" i="1"/>
  <c r="DT238" i="1"/>
  <c r="DT243" i="1"/>
  <c r="DT231" i="1"/>
  <c r="DT205" i="1"/>
  <c r="DT209" i="1"/>
  <c r="DT212" i="1"/>
  <c r="DT219" i="1"/>
  <c r="DT223" i="1"/>
  <c r="DT236" i="1"/>
  <c r="DT198" i="1"/>
  <c r="DT123" i="1"/>
  <c r="DT145" i="1"/>
  <c r="DT180" i="1"/>
  <c r="DT266" i="1"/>
  <c r="DT193" i="1"/>
  <c r="DR11" i="1"/>
  <c r="DU13" i="1"/>
  <c r="DU14" i="1"/>
  <c r="DU15" i="1"/>
  <c r="DU17" i="1"/>
  <c r="DU18" i="1"/>
  <c r="DU19" i="1"/>
  <c r="DU21" i="1"/>
  <c r="DU22" i="1"/>
  <c r="DU27" i="1"/>
  <c r="DU29" i="1"/>
  <c r="DU30" i="1"/>
  <c r="DU31" i="1"/>
  <c r="DU35" i="1"/>
  <c r="DU33" i="1"/>
  <c r="DU34" i="1"/>
  <c r="DU37" i="1"/>
  <c r="DU39" i="1"/>
  <c r="DU40" i="1"/>
  <c r="DU41" i="1"/>
  <c r="DU43" i="1"/>
  <c r="DU46" i="1"/>
  <c r="DU154" i="1"/>
  <c r="DU157" i="1"/>
  <c r="DU159" i="1"/>
  <c r="DU160" i="1"/>
  <c r="DU162" i="1"/>
  <c r="DU47" i="1"/>
  <c r="DU49" i="1"/>
  <c r="DU55" i="1"/>
  <c r="DU203" i="1"/>
  <c r="DU238" i="1"/>
  <c r="DU240" i="1"/>
  <c r="DU243" i="1"/>
  <c r="DU245" i="1"/>
  <c r="DS13" i="1"/>
  <c r="DS14" i="1"/>
  <c r="DS15" i="1"/>
  <c r="DS17" i="1"/>
  <c r="DS18" i="1"/>
  <c r="DS19" i="1"/>
  <c r="DS21" i="1"/>
  <c r="DS22" i="1"/>
  <c r="DS27" i="1"/>
  <c r="DS29" i="1"/>
  <c r="DS30" i="1"/>
  <c r="DS31" i="1"/>
  <c r="DS35" i="1"/>
  <c r="DS33" i="1"/>
  <c r="DS34" i="1"/>
  <c r="DS37" i="1"/>
  <c r="DS39" i="1"/>
  <c r="DS40" i="1"/>
  <c r="DS41" i="1"/>
  <c r="DS43" i="1"/>
  <c r="DS46" i="1"/>
  <c r="DS154" i="1"/>
  <c r="DS157" i="1"/>
  <c r="DS159" i="1"/>
  <c r="DS160" i="1"/>
  <c r="DS162" i="1"/>
  <c r="DS47" i="1"/>
  <c r="DS49" i="1"/>
  <c r="DS55" i="1"/>
  <c r="DS203" i="1"/>
  <c r="DS238" i="1"/>
  <c r="DS240" i="1"/>
  <c r="DS243" i="1"/>
  <c r="DS245" i="1"/>
  <c r="DS231" i="1"/>
  <c r="DS232" i="1"/>
  <c r="DS233" i="1"/>
  <c r="DS234" i="1"/>
  <c r="DS235" i="1"/>
  <c r="DS205" i="1"/>
  <c r="DS208" i="1"/>
  <c r="DS209" i="1"/>
  <c r="DS212" i="1"/>
  <c r="DS213" i="1"/>
  <c r="DS218" i="1"/>
  <c r="DS219" i="1"/>
  <c r="DS221" i="1"/>
  <c r="DS222" i="1"/>
  <c r="DS223" i="1"/>
  <c r="DS236" i="1"/>
  <c r="DS198" i="1"/>
  <c r="DS199" i="1"/>
  <c r="DS200" i="1"/>
  <c r="DS201" i="1"/>
  <c r="DS202" i="1"/>
  <c r="DS97" i="1"/>
  <c r="DS99" i="1"/>
  <c r="DS101" i="1"/>
  <c r="DS102" i="1"/>
  <c r="DS123" i="1"/>
  <c r="DS125" i="1"/>
  <c r="DS126" i="1"/>
  <c r="DS145" i="1"/>
  <c r="DS147" i="1"/>
  <c r="DS150" i="1"/>
  <c r="DS151" i="1"/>
  <c r="DS152" i="1"/>
  <c r="DS166" i="1"/>
  <c r="DS167" i="1"/>
  <c r="DS168" i="1"/>
  <c r="DS180" i="1"/>
  <c r="DS182" i="1"/>
  <c r="DS183" i="1"/>
  <c r="DS185" i="1"/>
  <c r="DS266" i="1"/>
  <c r="DS267" i="1"/>
  <c r="DS271" i="1"/>
  <c r="DS193" i="1"/>
  <c r="DS195" i="1"/>
  <c r="DS196" i="1"/>
  <c r="DS197" i="1"/>
  <c r="DR15" i="1"/>
  <c r="DR19" i="1"/>
  <c r="DR27" i="1"/>
  <c r="DR31" i="1"/>
  <c r="DR37" i="1"/>
  <c r="DR41" i="1"/>
  <c r="DR154" i="1"/>
  <c r="DR47" i="1"/>
  <c r="DR203" i="1"/>
  <c r="DR238" i="1"/>
  <c r="DR243" i="1"/>
  <c r="DR231" i="1"/>
  <c r="DR205" i="1"/>
  <c r="DR209" i="1"/>
  <c r="DR212" i="1"/>
  <c r="DR219" i="1"/>
  <c r="DR223" i="1"/>
  <c r="DR236" i="1"/>
  <c r="DR198" i="1"/>
  <c r="DR97" i="1"/>
  <c r="DR123" i="1"/>
  <c r="DR145" i="1"/>
  <c r="DR180" i="1"/>
  <c r="DR266" i="1"/>
  <c r="DR193" i="1"/>
  <c r="DP193" i="1"/>
  <c r="DP266" i="1"/>
  <c r="DP180" i="1"/>
  <c r="DP145" i="1"/>
  <c r="DP123" i="1"/>
  <c r="DP97" i="1"/>
  <c r="DP198" i="1"/>
  <c r="DP236" i="1"/>
  <c r="DP223" i="1"/>
  <c r="DP219" i="1"/>
  <c r="DP212" i="1"/>
  <c r="DP209" i="1"/>
  <c r="DP205" i="1"/>
  <c r="DP231" i="1"/>
  <c r="DP243" i="1"/>
  <c r="DP238" i="1"/>
  <c r="DP203" i="1"/>
  <c r="DP47" i="1"/>
  <c r="DP154" i="1"/>
  <c r="DP41" i="1"/>
  <c r="DP37" i="1"/>
  <c r="DP31" i="1"/>
  <c r="DP27" i="1"/>
  <c r="DP19" i="1"/>
  <c r="DP15" i="1"/>
  <c r="DP11" i="1"/>
  <c r="DO11" i="1"/>
  <c r="J35" i="1"/>
  <c r="CF35" i="1" s="1"/>
  <c r="I35" i="1"/>
  <c r="I218" i="1"/>
  <c r="J218" i="1"/>
  <c r="CF218" i="1" s="1"/>
  <c r="DB154" i="1"/>
  <c r="DC154" i="1" s="1"/>
  <c r="AZ154" i="1"/>
  <c r="B154" i="1"/>
  <c r="J156" i="1"/>
  <c r="CF156" i="1" s="1"/>
  <c r="I156" i="1"/>
  <c r="J159" i="1"/>
  <c r="J157" i="1"/>
  <c r="CF157" i="1" s="1"/>
  <c r="I157" i="1"/>
  <c r="I159" i="1"/>
  <c r="J245" i="1"/>
  <c r="CF245" i="1" s="1"/>
  <c r="I245" i="1"/>
  <c r="C245" i="1"/>
  <c r="CU244" i="1"/>
  <c r="CT244" i="1" s="1"/>
  <c r="CS244" i="1"/>
  <c r="CR244" i="1" s="1"/>
  <c r="BH244" i="1"/>
  <c r="BH245" i="1" s="1"/>
  <c r="BG244" i="1"/>
  <c r="BG245" i="1" s="1"/>
  <c r="AR244" i="1"/>
  <c r="AR245" i="1" s="1"/>
  <c r="AQ244" i="1"/>
  <c r="AQ245" i="1" s="1"/>
  <c r="J244" i="1"/>
  <c r="CF244" i="1" s="1"/>
  <c r="I244" i="1"/>
  <c r="C244" i="1"/>
  <c r="DB243" i="1"/>
  <c r="DC243" i="1" s="1"/>
  <c r="AZ243" i="1"/>
  <c r="B243" i="1"/>
  <c r="EN163" i="1"/>
  <c r="EN164" i="1" s="1"/>
  <c r="EH163" i="1"/>
  <c r="DV163" i="1"/>
  <c r="DV164" i="1" s="1"/>
  <c r="EP163" i="1"/>
  <c r="EP164" i="1" s="1"/>
  <c r="DW163" i="1"/>
  <c r="DW164" i="1" s="1"/>
  <c r="EO163" i="1"/>
  <c r="EO164" i="1" s="1"/>
  <c r="FN163" i="1"/>
  <c r="FN164" i="1" s="1"/>
  <c r="ED163" i="1"/>
  <c r="ED164" i="1" s="1"/>
  <c r="FF163" i="1"/>
  <c r="EU163" i="1"/>
  <c r="EU164" i="1" s="1"/>
  <c r="FA163" i="1"/>
  <c r="FA164" i="1" s="1"/>
  <c r="EB163" i="1"/>
  <c r="EB164" i="1" s="1"/>
  <c r="EZ163" i="1"/>
  <c r="EZ164" i="1" s="1"/>
  <c r="EC163" i="1"/>
  <c r="EC164" i="1" s="1"/>
  <c r="EJ163" i="1"/>
  <c r="EJ164" i="1" s="1"/>
  <c r="FG163" i="1"/>
  <c r="FG164" i="1" s="1"/>
  <c r="FB163" i="1"/>
  <c r="FB164" i="1" s="1"/>
  <c r="EV163" i="1"/>
  <c r="EV164" i="1" s="1"/>
  <c r="EI163" i="1"/>
  <c r="EI164" i="1" s="1"/>
  <c r="FO163" i="1"/>
  <c r="FO164" i="1" s="1"/>
  <c r="DX163" i="1"/>
  <c r="DX164" i="1" s="1"/>
  <c r="FM163" i="1"/>
  <c r="FI163" i="1"/>
  <c r="FI164" i="1" s="1"/>
  <c r="ET163" i="1"/>
  <c r="ET164" i="1" s="1"/>
  <c r="FH163" i="1"/>
  <c r="FH164" i="1" s="1"/>
  <c r="EH164" i="1"/>
  <c r="EM163" i="1"/>
  <c r="EM164" i="1" s="1"/>
  <c r="EG163" i="1"/>
  <c r="EG164" i="1" s="1"/>
  <c r="FH238" i="1"/>
  <c r="FN238" i="1"/>
  <c r="FO238" i="1"/>
  <c r="FG238" i="1"/>
  <c r="FI238" i="1"/>
  <c r="FA238" i="1"/>
  <c r="FB238" i="1"/>
  <c r="EU238" i="1"/>
  <c r="EO238" i="1"/>
  <c r="EV238" i="1"/>
  <c r="EP238" i="1"/>
  <c r="DV238" i="1"/>
  <c r="DW238" i="1"/>
  <c r="EI238" i="1"/>
  <c r="DX238" i="1"/>
  <c r="EJ238" i="1"/>
  <c r="EB238" i="1"/>
  <c r="EC238" i="1"/>
  <c r="ED238" i="1"/>
  <c r="DM238" i="1"/>
  <c r="DI238" i="1"/>
  <c r="DJ238" i="1"/>
  <c r="DK238" i="1"/>
  <c r="DL238" i="1"/>
  <c r="FM238" i="1"/>
  <c r="EM238" i="1"/>
  <c r="EN238" i="1"/>
  <c r="EG238" i="1"/>
  <c r="EH238" i="1"/>
  <c r="FF238" i="1"/>
  <c r="ET238" i="1"/>
  <c r="EZ238" i="1"/>
  <c r="DH238" i="1"/>
  <c r="DG238" i="1" s="1"/>
  <c r="DV231" i="1"/>
  <c r="EH231" i="1"/>
  <c r="EB231" i="1"/>
  <c r="EO231" i="1"/>
  <c r="ED231" i="1"/>
  <c r="FN231" i="1"/>
  <c r="FA231" i="1"/>
  <c r="EU231" i="1"/>
  <c r="DX231" i="1"/>
  <c r="FI231" i="1"/>
  <c r="EV231" i="1"/>
  <c r="EP231" i="1"/>
  <c r="FO231" i="1"/>
  <c r="FG231" i="1"/>
  <c r="DW231" i="1"/>
  <c r="FB231" i="1"/>
  <c r="EC231" i="1"/>
  <c r="EJ231" i="1"/>
  <c r="DI231" i="1"/>
  <c r="DL231" i="1"/>
  <c r="DJ231" i="1"/>
  <c r="DK231" i="1"/>
  <c r="DM231" i="1"/>
  <c r="J240" i="1"/>
  <c r="CF240" i="1" s="1"/>
  <c r="C240" i="1"/>
  <c r="CU239" i="1"/>
  <c r="CS239" i="1"/>
  <c r="CR239" i="1" s="1"/>
  <c r="BH239" i="1"/>
  <c r="BH240" i="1" s="1"/>
  <c r="BG239" i="1"/>
  <c r="BG240" i="1" s="1"/>
  <c r="AR239" i="1"/>
  <c r="AR240" i="1" s="1"/>
  <c r="AQ239" i="1"/>
  <c r="AQ240" i="1" s="1"/>
  <c r="J239" i="1"/>
  <c r="CI239" i="1" s="1"/>
  <c r="I239" i="1"/>
  <c r="C239" i="1"/>
  <c r="DB238" i="1"/>
  <c r="DC238" i="1" s="1"/>
  <c r="AZ238" i="1"/>
  <c r="B238" i="1"/>
  <c r="J202" i="1"/>
  <c r="CF202" i="1" s="1"/>
  <c r="I202" i="1"/>
  <c r="J201" i="1"/>
  <c r="CF201" i="1" s="1"/>
  <c r="I201" i="1"/>
  <c r="J200" i="1"/>
  <c r="CF200" i="1" s="1"/>
  <c r="I200" i="1"/>
  <c r="CU199" i="1"/>
  <c r="CT199" i="1" s="1"/>
  <c r="CS199" i="1"/>
  <c r="CR199" i="1" s="1"/>
  <c r="BH199" i="1"/>
  <c r="BH200" i="1" s="1"/>
  <c r="BH201" i="1" s="1"/>
  <c r="BH202" i="1" s="1"/>
  <c r="BG199" i="1"/>
  <c r="BG200" i="1" s="1"/>
  <c r="BG201" i="1" s="1"/>
  <c r="BG202" i="1" s="1"/>
  <c r="BF199" i="1"/>
  <c r="BI199" i="1" s="1"/>
  <c r="AR199" i="1"/>
  <c r="AR200" i="1" s="1"/>
  <c r="AR201" i="1" s="1"/>
  <c r="AR202" i="1" s="1"/>
  <c r="AQ199" i="1"/>
  <c r="AQ200" i="1" s="1"/>
  <c r="AQ201" i="1" s="1"/>
  <c r="AQ202" i="1" s="1"/>
  <c r="AP199" i="1"/>
  <c r="AP200" i="1" s="1"/>
  <c r="AP201" i="1" s="1"/>
  <c r="AP202" i="1" s="1"/>
  <c r="AO199" i="1"/>
  <c r="AO200" i="1" s="1"/>
  <c r="AO201" i="1" s="1"/>
  <c r="AO202" i="1" s="1"/>
  <c r="AN199" i="1"/>
  <c r="AN200" i="1" s="1"/>
  <c r="AN201" i="1" s="1"/>
  <c r="AN202" i="1" s="1"/>
  <c r="AM199" i="1"/>
  <c r="AL199" i="1"/>
  <c r="AL200" i="1" s="1"/>
  <c r="AL201" i="1" s="1"/>
  <c r="AL202" i="1" s="1"/>
  <c r="J199" i="1"/>
  <c r="CF199" i="1" s="1"/>
  <c r="I199" i="1"/>
  <c r="C199" i="1"/>
  <c r="C200" i="1" s="1"/>
  <c r="C201" i="1" s="1"/>
  <c r="C202" i="1" s="1"/>
  <c r="DB198" i="1"/>
  <c r="DC198" i="1" s="1"/>
  <c r="AZ198" i="1"/>
  <c r="B198" i="1"/>
  <c r="J22" i="1"/>
  <c r="CF22" i="1" s="1"/>
  <c r="I22" i="1"/>
  <c r="J21" i="1"/>
  <c r="I21" i="1"/>
  <c r="C21" i="1"/>
  <c r="CU20" i="1"/>
  <c r="CS20" i="1"/>
  <c r="BH20" i="1"/>
  <c r="BH21" i="1" s="1"/>
  <c r="BH22" i="1" s="1"/>
  <c r="BG20" i="1"/>
  <c r="BG21" i="1" s="1"/>
  <c r="BG22" i="1" s="1"/>
  <c r="J20" i="1"/>
  <c r="I20" i="1"/>
  <c r="C20" i="1"/>
  <c r="C22" i="1" s="1"/>
  <c r="DB19" i="1"/>
  <c r="DC19" i="1" s="1"/>
  <c r="AZ19" i="1"/>
  <c r="B19" i="1"/>
  <c r="J28" i="1"/>
  <c r="K28" i="1" s="1"/>
  <c r="EN231" i="1"/>
  <c r="EM231" i="1"/>
  <c r="FF231" i="1"/>
  <c r="EG231" i="1"/>
  <c r="EI231" i="1"/>
  <c r="FH231" i="1"/>
  <c r="DH231" i="1"/>
  <c r="J102" i="1"/>
  <c r="CF102" i="1" s="1"/>
  <c r="I102" i="1"/>
  <c r="J101" i="1"/>
  <c r="CF101" i="1" s="1"/>
  <c r="I101" i="1"/>
  <c r="J99" i="1"/>
  <c r="I99" i="1"/>
  <c r="C99" i="1"/>
  <c r="C102" i="1" s="1"/>
  <c r="CU98" i="1"/>
  <c r="CS98" i="1"/>
  <c r="BH98" i="1"/>
  <c r="BH99" i="1" s="1"/>
  <c r="BH100" i="1" s="1"/>
  <c r="BH101" i="1" s="1"/>
  <c r="BH102" i="1" s="1"/>
  <c r="BG98" i="1"/>
  <c r="BG99" i="1" s="1"/>
  <c r="BG100" i="1" s="1"/>
  <c r="BG101" i="1" s="1"/>
  <c r="BG102" i="1" s="1"/>
  <c r="AR98" i="1"/>
  <c r="AR99" i="1" s="1"/>
  <c r="AR100" i="1" s="1"/>
  <c r="AR101" i="1" s="1"/>
  <c r="AR102" i="1" s="1"/>
  <c r="AQ98" i="1"/>
  <c r="AQ99" i="1" s="1"/>
  <c r="AQ100" i="1" s="1"/>
  <c r="AQ101" i="1" s="1"/>
  <c r="AQ102" i="1" s="1"/>
  <c r="J98" i="1"/>
  <c r="I98" i="1"/>
  <c r="C98" i="1"/>
  <c r="C101" i="1" s="1"/>
  <c r="DB97" i="1"/>
  <c r="DC97" i="1" s="1"/>
  <c r="AZ97" i="1"/>
  <c r="B97" i="1"/>
  <c r="EZ231" i="1"/>
  <c r="ET231" i="1"/>
  <c r="FM231" i="1"/>
  <c r="J126" i="1"/>
  <c r="CF126" i="1" s="1"/>
  <c r="I126" i="1"/>
  <c r="J125" i="1"/>
  <c r="I125" i="1"/>
  <c r="C125" i="1"/>
  <c r="CU124" i="1"/>
  <c r="CS124" i="1"/>
  <c r="BH124" i="1"/>
  <c r="BH125" i="1" s="1"/>
  <c r="BH126" i="1" s="1"/>
  <c r="BG124" i="1"/>
  <c r="BG125" i="1" s="1"/>
  <c r="BG126" i="1" s="1"/>
  <c r="AR124" i="1"/>
  <c r="AR125" i="1" s="1"/>
  <c r="AR126" i="1" s="1"/>
  <c r="AQ124" i="1"/>
  <c r="AQ125" i="1" s="1"/>
  <c r="AQ126" i="1" s="1"/>
  <c r="J124" i="1"/>
  <c r="I124" i="1"/>
  <c r="C124" i="1"/>
  <c r="C126" i="1" s="1"/>
  <c r="DB123" i="1"/>
  <c r="DC123" i="1" s="1"/>
  <c r="AZ123" i="1"/>
  <c r="B123" i="1"/>
  <c r="I32" i="1"/>
  <c r="C36" i="1"/>
  <c r="I36" i="1"/>
  <c r="J36" i="1"/>
  <c r="CF36" i="1" s="1"/>
  <c r="CH32" i="1"/>
  <c r="DZ97" i="1"/>
  <c r="FJ97" i="1"/>
  <c r="DJ127" i="1"/>
  <c r="J271" i="1"/>
  <c r="CF271" i="1" s="1"/>
  <c r="I271" i="1"/>
  <c r="J269" i="1"/>
  <c r="CH269" i="1" s="1"/>
  <c r="I269" i="1"/>
  <c r="CU267" i="1"/>
  <c r="CS267" i="1"/>
  <c r="J267" i="1"/>
  <c r="CH267" i="1" s="1"/>
  <c r="I267" i="1"/>
  <c r="C267" i="1"/>
  <c r="C268" i="1" s="1"/>
  <c r="C269" i="1" s="1"/>
  <c r="C270" i="1" s="1"/>
  <c r="C271" i="1" s="1"/>
  <c r="DB266" i="1"/>
  <c r="AZ266" i="1"/>
  <c r="B266" i="1"/>
  <c r="DI127" i="1"/>
  <c r="DT97" i="1"/>
  <c r="DT119" i="1"/>
  <c r="DZ119" i="1"/>
  <c r="EQ97" i="1"/>
  <c r="FC97" i="1"/>
  <c r="EW97" i="1"/>
  <c r="DE97" i="1"/>
  <c r="EE97" i="1"/>
  <c r="FC119" i="1"/>
  <c r="EK97" i="1"/>
  <c r="DE119" i="1"/>
  <c r="EQ119" i="1"/>
  <c r="FJ119" i="1"/>
  <c r="EW119" i="1"/>
  <c r="DM127" i="1"/>
  <c r="DL127" i="1"/>
  <c r="DK127" i="1"/>
  <c r="C166" i="1"/>
  <c r="C168" i="1" s="1"/>
  <c r="CS165" i="1"/>
  <c r="BH165" i="1"/>
  <c r="BH166" i="1" s="1"/>
  <c r="BH167" i="1" s="1"/>
  <c r="BH168" i="1" s="1"/>
  <c r="BG165" i="1"/>
  <c r="BG166" i="1" s="1"/>
  <c r="BG167" i="1" s="1"/>
  <c r="BG168" i="1" s="1"/>
  <c r="AR165" i="1"/>
  <c r="AR166" i="1" s="1"/>
  <c r="AR167" i="1" s="1"/>
  <c r="AR168" i="1" s="1"/>
  <c r="AQ165" i="1"/>
  <c r="AQ166" i="1" s="1"/>
  <c r="AQ167" i="1" s="1"/>
  <c r="AQ168" i="1" s="1"/>
  <c r="C165" i="1"/>
  <c r="C167" i="1" s="1"/>
  <c r="AZ223" i="1"/>
  <c r="AZ219" i="1"/>
  <c r="AZ212" i="1"/>
  <c r="AZ209" i="1"/>
  <c r="AZ193" i="1"/>
  <c r="AZ205" i="1"/>
  <c r="AZ47" i="1"/>
  <c r="AZ180" i="1"/>
  <c r="AZ145" i="1"/>
  <c r="AZ41" i="1"/>
  <c r="AZ37" i="1"/>
  <c r="AZ31" i="1"/>
  <c r="AZ27" i="1"/>
  <c r="AZ11" i="1"/>
  <c r="AZ10" i="1"/>
  <c r="AZ231" i="1"/>
  <c r="AZ15" i="1"/>
  <c r="J208" i="1"/>
  <c r="CF208" i="1" s="1"/>
  <c r="I208" i="1"/>
  <c r="J207" i="1"/>
  <c r="CI207" i="1" s="1"/>
  <c r="I207" i="1"/>
  <c r="CU206" i="1"/>
  <c r="CT206" i="1" s="1"/>
  <c r="CS206" i="1"/>
  <c r="AR206" i="1"/>
  <c r="AR207" i="1" s="1"/>
  <c r="AR208" i="1" s="1"/>
  <c r="AQ206" i="1"/>
  <c r="AQ207" i="1" s="1"/>
  <c r="AQ208" i="1" s="1"/>
  <c r="J206" i="1"/>
  <c r="CH206" i="1" s="1"/>
  <c r="I206" i="1"/>
  <c r="C206" i="1"/>
  <c r="C207" i="1" s="1"/>
  <c r="C208" i="1" s="1"/>
  <c r="DB205" i="1"/>
  <c r="DC205" i="1" s="1"/>
  <c r="B205" i="1"/>
  <c r="EE119" i="1"/>
  <c r="EK119" i="1"/>
  <c r="DH127" i="1"/>
  <c r="DG127" i="1" s="1"/>
  <c r="DB206" i="1"/>
  <c r="DC206" i="1" s="1"/>
  <c r="J30" i="1"/>
  <c r="I30" i="1"/>
  <c r="J29" i="1"/>
  <c r="I29" i="1"/>
  <c r="C29" i="1"/>
  <c r="I28" i="1"/>
  <c r="C28" i="1"/>
  <c r="C30" i="1" s="1"/>
  <c r="C35" i="1" s="1"/>
  <c r="DB27" i="1"/>
  <c r="DC27" i="1" s="1"/>
  <c r="B27" i="1"/>
  <c r="DI205" i="1"/>
  <c r="DJ205" i="1"/>
  <c r="DK205" i="1"/>
  <c r="DL205" i="1"/>
  <c r="DM205" i="1"/>
  <c r="DM209" i="1"/>
  <c r="DI209" i="1"/>
  <c r="DJ209" i="1"/>
  <c r="DK209" i="1"/>
  <c r="DL209" i="1"/>
  <c r="J185" i="1"/>
  <c r="I185" i="1"/>
  <c r="J183" i="1"/>
  <c r="CF183" i="1" s="1"/>
  <c r="I183" i="1"/>
  <c r="J182" i="1"/>
  <c r="I182" i="1"/>
  <c r="C182" i="1"/>
  <c r="C185" i="1" s="1"/>
  <c r="CU181" i="1"/>
  <c r="CS181" i="1"/>
  <c r="CR181" i="1" s="1"/>
  <c r="AR181" i="1"/>
  <c r="AR182" i="1" s="1"/>
  <c r="AR183" i="1" s="1"/>
  <c r="AR184" i="1" s="1"/>
  <c r="AR185" i="1" s="1"/>
  <c r="AQ181" i="1"/>
  <c r="AQ182" i="1" s="1"/>
  <c r="AQ183" i="1" s="1"/>
  <c r="AQ184" i="1" s="1"/>
  <c r="AQ185" i="1" s="1"/>
  <c r="J181" i="1"/>
  <c r="I181" i="1"/>
  <c r="C181" i="1"/>
  <c r="C184" i="1" s="1"/>
  <c r="DB180" i="1"/>
  <c r="DC180" i="1" s="1"/>
  <c r="B180" i="1"/>
  <c r="CU48" i="1"/>
  <c r="CS48" i="1"/>
  <c r="BH48" i="1"/>
  <c r="BH49" i="1" s="1"/>
  <c r="BH50" i="1" s="1"/>
  <c r="BH51" i="1" s="1"/>
  <c r="BH52" i="1" s="1"/>
  <c r="BH53" i="1" s="1"/>
  <c r="BH54" i="1" s="1"/>
  <c r="BH55" i="1" s="1"/>
  <c r="BG48" i="1"/>
  <c r="BG49" i="1" s="1"/>
  <c r="BG50" i="1" s="1"/>
  <c r="BG51" i="1" s="1"/>
  <c r="BG52" i="1" s="1"/>
  <c r="BG53" i="1" s="1"/>
  <c r="BG54" i="1" s="1"/>
  <c r="BG55" i="1" s="1"/>
  <c r="AR48" i="1"/>
  <c r="AR49" i="1" s="1"/>
  <c r="AR50" i="1" s="1"/>
  <c r="AR51" i="1" s="1"/>
  <c r="AR52" i="1" s="1"/>
  <c r="AR53" i="1" s="1"/>
  <c r="AR54" i="1" s="1"/>
  <c r="AR55" i="1" s="1"/>
  <c r="AQ48" i="1"/>
  <c r="AQ49" i="1" s="1"/>
  <c r="AQ50" i="1" s="1"/>
  <c r="AQ51" i="1" s="1"/>
  <c r="AQ52" i="1" s="1"/>
  <c r="AQ53" i="1" s="1"/>
  <c r="AQ54" i="1" s="1"/>
  <c r="AQ55" i="1" s="1"/>
  <c r="I48" i="1"/>
  <c r="C48" i="1"/>
  <c r="C49" i="1" s="1"/>
  <c r="C51" i="1" s="1"/>
  <c r="DB47" i="1"/>
  <c r="DC47" i="1" s="1"/>
  <c r="B47" i="1"/>
  <c r="J40" i="1"/>
  <c r="CF40" i="1" s="1"/>
  <c r="I40" i="1"/>
  <c r="J39" i="1"/>
  <c r="CF39" i="1" s="1"/>
  <c r="I39" i="1"/>
  <c r="C39" i="1"/>
  <c r="CU38" i="1"/>
  <c r="CS38" i="1"/>
  <c r="CR38" i="1" s="1"/>
  <c r="AR38" i="1"/>
  <c r="AR39" i="1" s="1"/>
  <c r="AR40" i="1" s="1"/>
  <c r="AQ38" i="1"/>
  <c r="AQ39" i="1" s="1"/>
  <c r="AQ40" i="1" s="1"/>
  <c r="J38" i="1"/>
  <c r="CF38" i="1" s="1"/>
  <c r="I38" i="1"/>
  <c r="C38" i="1"/>
  <c r="C40" i="1" s="1"/>
  <c r="C44" i="1" s="1"/>
  <c r="DB37" i="1"/>
  <c r="DC37" i="1" s="1"/>
  <c r="B37" i="1"/>
  <c r="J34" i="1"/>
  <c r="I34" i="1"/>
  <c r="J33" i="1"/>
  <c r="CH33" i="1" s="1"/>
  <c r="I33" i="1"/>
  <c r="C33" i="1"/>
  <c r="DB31" i="1"/>
  <c r="DC31" i="1" s="1"/>
  <c r="B31" i="1"/>
  <c r="J46" i="1"/>
  <c r="CF46" i="1" s="1"/>
  <c r="I46" i="1"/>
  <c r="J43" i="1"/>
  <c r="CF43" i="1" s="1"/>
  <c r="I43" i="1"/>
  <c r="C43" i="1"/>
  <c r="CU42" i="1"/>
  <c r="CS42" i="1"/>
  <c r="CR42" i="1" s="1"/>
  <c r="J42" i="1"/>
  <c r="I42" i="1"/>
  <c r="C42" i="1"/>
  <c r="C46" i="1" s="1"/>
  <c r="DB41" i="1"/>
  <c r="DC41" i="1" s="1"/>
  <c r="B41" i="1"/>
  <c r="CU194" i="1"/>
  <c r="DB45" i="1"/>
  <c r="DC45" i="1" s="1"/>
  <c r="DH209" i="1"/>
  <c r="DG209" i="1" s="1"/>
  <c r="J197" i="1"/>
  <c r="I197" i="1"/>
  <c r="J196" i="1"/>
  <c r="CF196" i="1" s="1"/>
  <c r="I196" i="1"/>
  <c r="J195" i="1"/>
  <c r="K195" i="1" s="1"/>
  <c r="I195" i="1"/>
  <c r="C195" i="1"/>
  <c r="C197" i="1" s="1"/>
  <c r="CS194" i="1"/>
  <c r="AR194" i="1"/>
  <c r="AR195" i="1" s="1"/>
  <c r="AR196" i="1" s="1"/>
  <c r="AR197" i="1" s="1"/>
  <c r="AQ194" i="1"/>
  <c r="AQ195" i="1" s="1"/>
  <c r="AQ196" i="1" s="1"/>
  <c r="AQ197" i="1" s="1"/>
  <c r="J194" i="1"/>
  <c r="CF194" i="1" s="1"/>
  <c r="I194" i="1"/>
  <c r="C194" i="1"/>
  <c r="C196" i="1" s="1"/>
  <c r="DB193" i="1"/>
  <c r="DC193" i="1" s="1"/>
  <c r="B193" i="1"/>
  <c r="J235" i="1"/>
  <c r="CF235" i="1" s="1"/>
  <c r="I235" i="1"/>
  <c r="J234" i="1"/>
  <c r="CF234" i="1" s="1"/>
  <c r="I234" i="1"/>
  <c r="J233" i="1"/>
  <c r="CF233" i="1" s="1"/>
  <c r="I233" i="1"/>
  <c r="CU232" i="1"/>
  <c r="CT232" i="1" s="1"/>
  <c r="CS232" i="1"/>
  <c r="CR232" i="1" s="1"/>
  <c r="BH232" i="1"/>
  <c r="BH233" i="1" s="1"/>
  <c r="BH234" i="1" s="1"/>
  <c r="BH235" i="1" s="1"/>
  <c r="BG232" i="1"/>
  <c r="BG233" i="1" s="1"/>
  <c r="BG234" i="1" s="1"/>
  <c r="BG235" i="1" s="1"/>
  <c r="BF232" i="1"/>
  <c r="BI232" i="1" s="1"/>
  <c r="AR232" i="1"/>
  <c r="AR233" i="1" s="1"/>
  <c r="AR234" i="1" s="1"/>
  <c r="AR235" i="1" s="1"/>
  <c r="AQ232" i="1"/>
  <c r="AQ233" i="1" s="1"/>
  <c r="AQ234" i="1" s="1"/>
  <c r="AQ235" i="1" s="1"/>
  <c r="AP232" i="1"/>
  <c r="AP233" i="1" s="1"/>
  <c r="AP234" i="1" s="1"/>
  <c r="AO232" i="1"/>
  <c r="AN232" i="1"/>
  <c r="AN233" i="1" s="1"/>
  <c r="AN234" i="1" s="1"/>
  <c r="AN235" i="1" s="1"/>
  <c r="AM232" i="1"/>
  <c r="AM233" i="1" s="1"/>
  <c r="J232" i="1"/>
  <c r="I232" i="1"/>
  <c r="DB231" i="1"/>
  <c r="DC231" i="1" s="1"/>
  <c r="B231" i="1"/>
  <c r="I10" i="1"/>
  <c r="DH205" i="1"/>
  <c r="DG205" i="1" s="1"/>
  <c r="J226" i="1"/>
  <c r="CF226" i="1" s="1"/>
  <c r="I226" i="1"/>
  <c r="CU224" i="1"/>
  <c r="CU225" i="1" s="1"/>
  <c r="CS224" i="1"/>
  <c r="CS225" i="1" s="1"/>
  <c r="J224" i="1"/>
  <c r="CH224" i="1" s="1"/>
  <c r="I224" i="1"/>
  <c r="C224" i="1"/>
  <c r="DB223" i="1"/>
  <c r="DC223" i="1" s="1"/>
  <c r="B223" i="1"/>
  <c r="J222" i="1"/>
  <c r="CF222" i="1" s="1"/>
  <c r="I222" i="1"/>
  <c r="CU220" i="1"/>
  <c r="CS220" i="1"/>
  <c r="AR220" i="1"/>
  <c r="AR221" i="1" s="1"/>
  <c r="AR222" i="1" s="1"/>
  <c r="AQ220" i="1"/>
  <c r="AQ221" i="1" s="1"/>
  <c r="AQ222" i="1" s="1"/>
  <c r="C220" i="1"/>
  <c r="C221" i="1" s="1"/>
  <c r="C222" i="1" s="1"/>
  <c r="DB219" i="1"/>
  <c r="DC219" i="1" s="1"/>
  <c r="B219" i="1"/>
  <c r="J215" i="1"/>
  <c r="CF215" i="1" s="1"/>
  <c r="I215" i="1"/>
  <c r="J214" i="1"/>
  <c r="CF214" i="1" s="1"/>
  <c r="I214" i="1"/>
  <c r="CU213" i="1"/>
  <c r="CS213" i="1"/>
  <c r="J213" i="1"/>
  <c r="CI213" i="1" s="1"/>
  <c r="I213" i="1"/>
  <c r="C213" i="1"/>
  <c r="C214" i="1" s="1"/>
  <c r="DB212" i="1"/>
  <c r="DC212" i="1" s="1"/>
  <c r="B212" i="1"/>
  <c r="CU210" i="1"/>
  <c r="AR210" i="1"/>
  <c r="AR211" i="1" s="1"/>
  <c r="AQ210" i="1"/>
  <c r="AQ211" i="1" s="1"/>
  <c r="C210" i="1"/>
  <c r="C211" i="1" s="1"/>
  <c r="DB209" i="1"/>
  <c r="DC209" i="1" s="1"/>
  <c r="B209" i="1"/>
  <c r="C149" i="1"/>
  <c r="C147" i="1"/>
  <c r="C151" i="1" s="1"/>
  <c r="CU146" i="1"/>
  <c r="CS146" i="1"/>
  <c r="CS4" i="1" s="1"/>
  <c r="BH146" i="1"/>
  <c r="BH147" i="1" s="1"/>
  <c r="BH148" i="1" s="1"/>
  <c r="BH149" i="1" s="1"/>
  <c r="BH150" i="1" s="1"/>
  <c r="BH151" i="1" s="1"/>
  <c r="BH152" i="1" s="1"/>
  <c r="BG146" i="1"/>
  <c r="BG147" i="1" s="1"/>
  <c r="BG148" i="1" s="1"/>
  <c r="BG149" i="1" s="1"/>
  <c r="BG150" i="1" s="1"/>
  <c r="BG151" i="1" s="1"/>
  <c r="BG152" i="1" s="1"/>
  <c r="AR146" i="1"/>
  <c r="AR147" i="1" s="1"/>
  <c r="AR148" i="1" s="1"/>
  <c r="AR149" i="1" s="1"/>
  <c r="AR150" i="1" s="1"/>
  <c r="AR151" i="1" s="1"/>
  <c r="AR152" i="1" s="1"/>
  <c r="AQ146" i="1"/>
  <c r="AQ147" i="1" s="1"/>
  <c r="AQ148" i="1" s="1"/>
  <c r="AQ149" i="1" s="1"/>
  <c r="AQ150" i="1" s="1"/>
  <c r="AQ151" i="1" s="1"/>
  <c r="AQ152" i="1" s="1"/>
  <c r="C146" i="1"/>
  <c r="C148" i="1" s="1"/>
  <c r="C152" i="1" s="1"/>
  <c r="DB145" i="1"/>
  <c r="DC145" i="1" s="1"/>
  <c r="B145" i="1"/>
  <c r="CS12" i="1"/>
  <c r="BH12" i="1"/>
  <c r="BH13" i="1" s="1"/>
  <c r="BH14" i="1" s="1"/>
  <c r="BG12" i="1"/>
  <c r="BG13" i="1" s="1"/>
  <c r="BG14" i="1" s="1"/>
  <c r="AR12" i="1"/>
  <c r="AR13" i="1" s="1"/>
  <c r="AR14" i="1" s="1"/>
  <c r="AQ12" i="1"/>
  <c r="AQ13" i="1" s="1"/>
  <c r="AQ14" i="1" s="1"/>
  <c r="DB11" i="1"/>
  <c r="DC11" i="1" s="1"/>
  <c r="B11" i="1"/>
  <c r="C17" i="1"/>
  <c r="CU16" i="1"/>
  <c r="CS16" i="1"/>
  <c r="BH16" i="1"/>
  <c r="BH17" i="1" s="1"/>
  <c r="BH18" i="1" s="1"/>
  <c r="BG16" i="1"/>
  <c r="BG17" i="1" s="1"/>
  <c r="BG18" i="1" s="1"/>
  <c r="AR16" i="1"/>
  <c r="AR17" i="1" s="1"/>
  <c r="AR18" i="1" s="1"/>
  <c r="AQ16" i="1"/>
  <c r="AQ17" i="1" s="1"/>
  <c r="AQ18" i="1" s="1"/>
  <c r="C16" i="1"/>
  <c r="C18" i="1" s="1"/>
  <c r="DB15" i="1"/>
  <c r="DC15" i="1" s="1"/>
  <c r="B15" i="1"/>
  <c r="B10" i="1"/>
  <c r="BB163" i="1"/>
  <c r="BA119" i="1"/>
  <c r="BA19" i="1"/>
  <c r="BA266" i="1"/>
  <c r="BA186" i="1"/>
  <c r="BA219" i="1"/>
  <c r="BA37" i="1"/>
  <c r="BA180" i="1"/>
  <c r="BA205" i="1"/>
  <c r="BA135" i="1"/>
  <c r="BA164" i="1"/>
  <c r="BB249" i="1"/>
  <c r="BB112" i="1"/>
  <c r="BB169" i="1"/>
  <c r="BB103" i="1"/>
  <c r="BB238" i="1"/>
  <c r="CH10" i="1"/>
  <c r="BB123" i="1"/>
  <c r="CF10" i="1"/>
  <c r="BB47" i="1"/>
  <c r="BB11" i="1"/>
  <c r="BB145" i="1"/>
  <c r="BB41" i="1"/>
  <c r="J149" i="1"/>
  <c r="CF149" i="1" s="1"/>
  <c r="I152" i="1"/>
  <c r="I220" i="1"/>
  <c r="J220" i="1"/>
  <c r="I151" i="1"/>
  <c r="J152" i="1"/>
  <c r="J211" i="1"/>
  <c r="J210" i="1"/>
  <c r="CH210" i="1" s="1"/>
  <c r="I146" i="1"/>
  <c r="J146" i="1"/>
  <c r="CF146" i="1" s="1"/>
  <c r="J150" i="1"/>
  <c r="I150" i="1"/>
  <c r="I149" i="1"/>
  <c r="J151" i="1"/>
  <c r="CF151" i="1" s="1"/>
  <c r="I147" i="1"/>
  <c r="I148" i="1"/>
  <c r="J147" i="1"/>
  <c r="J148" i="1"/>
  <c r="CF148" i="1" s="1"/>
  <c r="I210" i="1"/>
  <c r="J221" i="1"/>
  <c r="CF221" i="1" s="1"/>
  <c r="I221" i="1"/>
  <c r="I211" i="1"/>
  <c r="K109" i="1"/>
  <c r="CI10" i="1"/>
  <c r="K170" i="1"/>
  <c r="K10" i="1"/>
  <c r="DM223" i="1"/>
  <c r="DI223" i="1"/>
  <c r="DJ223" i="1"/>
  <c r="DK223" i="1"/>
  <c r="DL223" i="1"/>
  <c r="DM236" i="1"/>
  <c r="DM266" i="1" s="1"/>
  <c r="DI236" i="1"/>
  <c r="DI266" i="1" s="1"/>
  <c r="DJ236" i="1"/>
  <c r="DJ266" i="1" s="1"/>
  <c r="DK236" i="1"/>
  <c r="DK266" i="1" s="1"/>
  <c r="DL236" i="1"/>
  <c r="DL266" i="1" s="1"/>
  <c r="DI154" i="1"/>
  <c r="DJ154" i="1"/>
  <c r="DK154" i="1"/>
  <c r="DL154" i="1"/>
  <c r="DM154" i="1"/>
  <c r="DT103" i="1"/>
  <c r="DZ19" i="1"/>
  <c r="DT19" i="1"/>
  <c r="DL212" i="1"/>
  <c r="DK212" i="1"/>
  <c r="DJ212" i="1"/>
  <c r="DI212" i="1"/>
  <c r="DM212" i="1"/>
  <c r="DZ103" i="1"/>
  <c r="DE103" i="1"/>
  <c r="DH154" i="1"/>
  <c r="DG154" i="1" s="1"/>
  <c r="DE19" i="1"/>
  <c r="DH223" i="1"/>
  <c r="DG223" i="1" s="1"/>
  <c r="EK19" i="1"/>
  <c r="FJ19" i="1"/>
  <c r="EW19" i="1"/>
  <c r="FJ103" i="1"/>
  <c r="FC103" i="1"/>
  <c r="EQ103" i="1"/>
  <c r="FC19" i="1"/>
  <c r="EW103" i="1"/>
  <c r="EQ19" i="1"/>
  <c r="FE27" i="1"/>
  <c r="ES27" i="1"/>
  <c r="EY27" i="1"/>
  <c r="EE19" i="1"/>
  <c r="DH236" i="1"/>
  <c r="DG236" i="1" s="1"/>
  <c r="EK103" i="1"/>
  <c r="EE103" i="1"/>
  <c r="DH212" i="1"/>
  <c r="DG212" i="1" s="1"/>
  <c r="DS36" i="1"/>
  <c r="DF36" i="1"/>
  <c r="EK11" i="1"/>
  <c r="EE11" i="1"/>
  <c r="DE11" i="1"/>
  <c r="FC11" i="1"/>
  <c r="EQ11" i="1"/>
  <c r="EW11" i="1"/>
  <c r="FJ11" i="1"/>
  <c r="DZ11" i="1"/>
  <c r="DT11" i="1"/>
  <c r="DU36" i="1"/>
  <c r="Y9" i="1"/>
  <c r="CH218" i="1" l="1"/>
  <c r="DB146" i="1"/>
  <c r="DC146" i="1" s="1"/>
  <c r="DB40" i="1"/>
  <c r="DC40" i="1" s="1"/>
  <c r="K192" i="1"/>
  <c r="AW84" i="1"/>
  <c r="CH85" i="1"/>
  <c r="CD86" i="1"/>
  <c r="CN86" i="1" s="1"/>
  <c r="CF206" i="1"/>
  <c r="CI170" i="1"/>
  <c r="BB15" i="1"/>
  <c r="BB193" i="1"/>
  <c r="BB266" i="1"/>
  <c r="BB19" i="1"/>
  <c r="BB135" i="1"/>
  <c r="BB131" i="1"/>
  <c r="BB23" i="1"/>
  <c r="DB38" i="1"/>
  <c r="DC38" i="1" s="1"/>
  <c r="BB260" i="1"/>
  <c r="BB251" i="1"/>
  <c r="BB219" i="1"/>
  <c r="BB31" i="1"/>
  <c r="BB243" i="1"/>
  <c r="BA249" i="1"/>
  <c r="CI191" i="1"/>
  <c r="BB212" i="1"/>
  <c r="BB37" i="1"/>
  <c r="BB223" i="1"/>
  <c r="BB180" i="1"/>
  <c r="BB241" i="1"/>
  <c r="BB127" i="1"/>
  <c r="BB173" i="1"/>
  <c r="BB153" i="1"/>
  <c r="BB164" i="1"/>
  <c r="BB141" i="1"/>
  <c r="C183" i="1"/>
  <c r="CH34" i="1"/>
  <c r="CF32" i="1"/>
  <c r="BB246" i="1"/>
  <c r="K107" i="1"/>
  <c r="CI196" i="1"/>
  <c r="BB205" i="1"/>
  <c r="BB27" i="1"/>
  <c r="BB231" i="1"/>
  <c r="BB209" i="1"/>
  <c r="BB97" i="1"/>
  <c r="BB198" i="1"/>
  <c r="BB154" i="1"/>
  <c r="BB186" i="1"/>
  <c r="BB119" i="1"/>
  <c r="BB256" i="1"/>
  <c r="BB108" i="1"/>
  <c r="DB28" i="1"/>
  <c r="DC28" i="1" s="1"/>
  <c r="DB32" i="1"/>
  <c r="DC32" i="1" s="1"/>
  <c r="CH129" i="1"/>
  <c r="CI155" i="1"/>
  <c r="BB253" i="1"/>
  <c r="BB66" i="1"/>
  <c r="U171" i="1"/>
  <c r="FR86" i="1"/>
  <c r="EW86" i="1"/>
  <c r="DO86" i="1"/>
  <c r="CP86" i="1"/>
  <c r="DT86" i="1"/>
  <c r="DA86" i="1"/>
  <c r="CG86" i="1"/>
  <c r="M86" i="1" s="1"/>
  <c r="CH40" i="1"/>
  <c r="J48" i="1"/>
  <c r="CI48" i="1" s="1"/>
  <c r="CI29" i="1"/>
  <c r="BC41" i="1"/>
  <c r="BC198" i="1"/>
  <c r="BC37" i="1"/>
  <c r="BC223" i="1"/>
  <c r="BC15" i="1"/>
  <c r="BC243" i="1"/>
  <c r="BC186" i="1"/>
  <c r="BC112" i="1"/>
  <c r="BC256" i="1"/>
  <c r="BC23" i="1"/>
  <c r="BC141" i="1"/>
  <c r="DB113" i="1"/>
  <c r="DC113" i="1" s="1"/>
  <c r="CR212" i="1"/>
  <c r="CH259" i="1"/>
  <c r="AW79" i="1"/>
  <c r="DB76" i="1"/>
  <c r="DC76" i="1" s="1"/>
  <c r="AK85" i="1"/>
  <c r="K33" i="1"/>
  <c r="CH147" i="1"/>
  <c r="K269" i="1"/>
  <c r="K32" i="1"/>
  <c r="CI269" i="1"/>
  <c r="DB213" i="1"/>
  <c r="DC213" i="1" s="1"/>
  <c r="DB244" i="1"/>
  <c r="DC244" i="1" s="1"/>
  <c r="BC209" i="1"/>
  <c r="BC231" i="1"/>
  <c r="BC154" i="1"/>
  <c r="BC103" i="1"/>
  <c r="BC241" i="1"/>
  <c r="BC145" i="1"/>
  <c r="BC127" i="1"/>
  <c r="BC169" i="1"/>
  <c r="BC135" i="1"/>
  <c r="BC131" i="1"/>
  <c r="CH178" i="1"/>
  <c r="BC249" i="1"/>
  <c r="BC164" i="1"/>
  <c r="BC108" i="1"/>
  <c r="CH114" i="1"/>
  <c r="AJ105" i="1"/>
  <c r="AK105" i="1" s="1"/>
  <c r="K58" i="1"/>
  <c r="K86" i="1"/>
  <c r="FL27" i="1"/>
  <c r="CI33" i="1"/>
  <c r="CH185" i="1"/>
  <c r="CI30" i="1"/>
  <c r="BC205" i="1"/>
  <c r="BC212" i="1"/>
  <c r="BC180" i="1"/>
  <c r="BC11" i="1"/>
  <c r="BC238" i="1"/>
  <c r="BC123" i="1"/>
  <c r="BC27" i="1"/>
  <c r="BC173" i="1"/>
  <c r="BC153" i="1"/>
  <c r="CI114" i="1"/>
  <c r="BI86" i="1"/>
  <c r="BI85" i="1"/>
  <c r="CF85" i="1"/>
  <c r="CG85" i="1" s="1"/>
  <c r="M85" i="1" s="1"/>
  <c r="CD85" i="1"/>
  <c r="CI85" i="1"/>
  <c r="DB85" i="1"/>
  <c r="DC85" i="1" s="1"/>
  <c r="DB86" i="1"/>
  <c r="DC86" i="1" s="1"/>
  <c r="BC84" i="1"/>
  <c r="K30" i="1"/>
  <c r="K239" i="1"/>
  <c r="K114" i="1"/>
  <c r="CI157" i="1"/>
  <c r="CI139" i="1"/>
  <c r="CI110" i="1"/>
  <c r="I16" i="1"/>
  <c r="CH152" i="1"/>
  <c r="J16" i="1"/>
  <c r="CF16" i="1" s="1"/>
  <c r="CH35" i="1"/>
  <c r="DB43" i="1"/>
  <c r="DC43" i="1" s="1"/>
  <c r="DB181" i="1"/>
  <c r="DC181" i="1" s="1"/>
  <c r="CI136" i="1"/>
  <c r="BD84" i="1"/>
  <c r="CM86" i="1"/>
  <c r="CL86" i="1" s="1"/>
  <c r="H86" i="1" s="1"/>
  <c r="CQ86" i="1"/>
  <c r="N86" i="1" s="1"/>
  <c r="DP86" i="1"/>
  <c r="DZ86" i="1"/>
  <c r="EE86" i="1"/>
  <c r="FJ86" i="1"/>
  <c r="K38" i="1"/>
  <c r="K138" i="1"/>
  <c r="K113" i="1"/>
  <c r="K270" i="1"/>
  <c r="CI113" i="1"/>
  <c r="CI138" i="1"/>
  <c r="CI109" i="1"/>
  <c r="DB16" i="1"/>
  <c r="DC16" i="1" s="1"/>
  <c r="BA231" i="1"/>
  <c r="DB42" i="1"/>
  <c r="DC42" i="1" s="1"/>
  <c r="DB124" i="1"/>
  <c r="DC124" i="1" s="1"/>
  <c r="DB44" i="1"/>
  <c r="DC44" i="1" s="1"/>
  <c r="BW16" i="1"/>
  <c r="BO48" i="1"/>
  <c r="BA84" i="1"/>
  <c r="BE84" i="1"/>
  <c r="K85" i="1"/>
  <c r="CP85" i="1"/>
  <c r="CI86" i="1"/>
  <c r="DR86" i="1"/>
  <c r="EK86" i="1"/>
  <c r="FC86" i="1"/>
  <c r="CH155" i="1"/>
  <c r="DB215" i="1"/>
  <c r="DC215" i="1" s="1"/>
  <c r="DB214" i="1"/>
  <c r="DC214" i="1" s="1"/>
  <c r="DB225" i="1"/>
  <c r="DC225" i="1" s="1"/>
  <c r="K191" i="1"/>
  <c r="CI190" i="1"/>
  <c r="K110" i="1"/>
  <c r="DB39" i="1"/>
  <c r="DC39" i="1" s="1"/>
  <c r="CH239" i="1"/>
  <c r="CI159" i="1"/>
  <c r="BS48" i="1"/>
  <c r="BB84" i="1"/>
  <c r="CQ85" i="1"/>
  <c r="N85" i="1" s="1"/>
  <c r="CO86" i="1"/>
  <c r="DE86" i="1"/>
  <c r="EQ86" i="1"/>
  <c r="CF152" i="1"/>
  <c r="DB114" i="1"/>
  <c r="DC114" i="1" s="1"/>
  <c r="CH76" i="1"/>
  <c r="CD76" i="1"/>
  <c r="DB262" i="1"/>
  <c r="DC262" i="1" s="1"/>
  <c r="AW75" i="1"/>
  <c r="AW228" i="1"/>
  <c r="AW123" i="1"/>
  <c r="C50" i="1"/>
  <c r="C52" i="1" s="1"/>
  <c r="C53" i="1" s="1"/>
  <c r="C54" i="1" s="1"/>
  <c r="C55" i="1" s="1"/>
  <c r="DB240" i="1"/>
  <c r="DC240" i="1" s="1"/>
  <c r="K122" i="1"/>
  <c r="AW31" i="1"/>
  <c r="AW154" i="1"/>
  <c r="AW186" i="1"/>
  <c r="AW223" i="1"/>
  <c r="AW249" i="1"/>
  <c r="CI76" i="1"/>
  <c r="J171" i="1"/>
  <c r="CI171" i="1" s="1"/>
  <c r="AV32" i="1"/>
  <c r="AV33" i="1" s="1"/>
  <c r="AV34" i="1" s="1"/>
  <c r="AV35" i="1" s="1"/>
  <c r="AV36" i="1" s="1"/>
  <c r="AJ214" i="1"/>
  <c r="AJ215" i="1" s="1"/>
  <c r="K76" i="1"/>
  <c r="K136" i="1"/>
  <c r="K250" i="1"/>
  <c r="AK181" i="1"/>
  <c r="DB46" i="1"/>
  <c r="DC46" i="1" s="1"/>
  <c r="CI250" i="1"/>
  <c r="K258" i="1"/>
  <c r="CH258" i="1"/>
  <c r="DB227" i="1"/>
  <c r="DC227" i="1" s="1"/>
  <c r="BA75" i="1"/>
  <c r="CI39" i="1"/>
  <c r="CI258" i="1"/>
  <c r="K211" i="1"/>
  <c r="BA41" i="1"/>
  <c r="BB75" i="1"/>
  <c r="AW153" i="1"/>
  <c r="AW180" i="1"/>
  <c r="BC75" i="1"/>
  <c r="BW12" i="1"/>
  <c r="BD75" i="1"/>
  <c r="AW72" i="1"/>
  <c r="DB58" i="1"/>
  <c r="DC58" i="1" s="1"/>
  <c r="BE75" i="1"/>
  <c r="BI58" i="1"/>
  <c r="CD58" i="1"/>
  <c r="CR32" i="1"/>
  <c r="CR15" i="1"/>
  <c r="CR173" i="1"/>
  <c r="CH58" i="1"/>
  <c r="DB170" i="1"/>
  <c r="DC170" i="1" s="1"/>
  <c r="CI161" i="1"/>
  <c r="CR31" i="1"/>
  <c r="CR145" i="1"/>
  <c r="K68" i="1"/>
  <c r="CI58" i="1"/>
  <c r="K42" i="1"/>
  <c r="DB104" i="1"/>
  <c r="DC104" i="1" s="1"/>
  <c r="CR219" i="1"/>
  <c r="CR223" i="1"/>
  <c r="DB226" i="1"/>
  <c r="DC226" i="1" s="1"/>
  <c r="CR135" i="1"/>
  <c r="CR119" i="1"/>
  <c r="CR266" i="1"/>
  <c r="J94" i="1"/>
  <c r="K94" i="1" s="1"/>
  <c r="AU67" i="1"/>
  <c r="AU68" i="1" s="1"/>
  <c r="CR97" i="1"/>
  <c r="BF248" i="1"/>
  <c r="BI248" i="1" s="1"/>
  <c r="CI217" i="1"/>
  <c r="CI105" i="1"/>
  <c r="CR193" i="1"/>
  <c r="CR123" i="1"/>
  <c r="K111" i="1"/>
  <c r="I45" i="1"/>
  <c r="CR205" i="1"/>
  <c r="CR164" i="1"/>
  <c r="CI247" i="1"/>
  <c r="J45" i="1"/>
  <c r="CR47" i="1"/>
  <c r="CR23" i="1"/>
  <c r="AW219" i="1"/>
  <c r="AW246" i="1"/>
  <c r="AW266" i="1"/>
  <c r="DB239" i="1"/>
  <c r="DC239" i="1" s="1"/>
  <c r="CR19" i="1"/>
  <c r="CR163" i="1"/>
  <c r="BA251" i="1"/>
  <c r="AU58" i="1"/>
  <c r="CI143" i="1"/>
  <c r="DB224" i="1"/>
  <c r="DC224" i="1" s="1"/>
  <c r="CH124" i="1"/>
  <c r="CR124" i="1" s="1"/>
  <c r="ES15" i="1"/>
  <c r="CR103" i="1"/>
  <c r="AW97" i="1"/>
  <c r="AW127" i="1"/>
  <c r="AV58" i="1"/>
  <c r="CF147" i="1"/>
  <c r="K39" i="1"/>
  <c r="CF179" i="1"/>
  <c r="CF44" i="1"/>
  <c r="CH113" i="1"/>
  <c r="CR113" i="1" s="1"/>
  <c r="K271" i="1"/>
  <c r="CH268" i="1"/>
  <c r="AV155" i="1"/>
  <c r="AV156" i="1" s="1"/>
  <c r="AV157" i="1" s="1"/>
  <c r="AV158" i="1" s="1"/>
  <c r="AV159" i="1" s="1"/>
  <c r="AV160" i="1" s="1"/>
  <c r="AV161" i="1" s="1"/>
  <c r="AV162" i="1" s="1"/>
  <c r="AW173" i="1"/>
  <c r="AW243" i="1"/>
  <c r="AW263" i="1"/>
  <c r="CI67" i="1"/>
  <c r="DB168" i="1"/>
  <c r="DC168" i="1" s="1"/>
  <c r="K157" i="1"/>
  <c r="CH222" i="1"/>
  <c r="K181" i="1"/>
  <c r="DB128" i="1"/>
  <c r="DC128" i="1" s="1"/>
  <c r="CH270" i="1"/>
  <c r="K137" i="1"/>
  <c r="CH215" i="1"/>
  <c r="CI206" i="1"/>
  <c r="CI137" i="1"/>
  <c r="AW77" i="1"/>
  <c r="AW131" i="1"/>
  <c r="AW198" i="1"/>
  <c r="AW253" i="1"/>
  <c r="X18" i="1"/>
  <c r="BW18" i="1" s="1"/>
  <c r="BW17" i="1"/>
  <c r="AV254" i="1"/>
  <c r="AV255" i="1" s="1"/>
  <c r="AK57" i="1"/>
  <c r="CD60" i="1"/>
  <c r="CH221" i="1"/>
  <c r="AV229" i="1"/>
  <c r="AV230" i="1" s="1"/>
  <c r="AV199" i="1"/>
  <c r="AV200" i="1" s="1"/>
  <c r="AV201" i="1" s="1"/>
  <c r="AV202" i="1" s="1"/>
  <c r="AW47" i="1"/>
  <c r="CH191" i="1"/>
  <c r="CR191" i="1" s="1"/>
  <c r="K257" i="1"/>
  <c r="K156" i="1"/>
  <c r="DB210" i="1"/>
  <c r="DC210" i="1" s="1"/>
  <c r="DB137" i="1"/>
  <c r="DC137" i="1" s="1"/>
  <c r="DB242" i="1"/>
  <c r="DC242" i="1" s="1"/>
  <c r="AW90" i="1"/>
  <c r="AW141" i="1"/>
  <c r="AW209" i="1"/>
  <c r="AW260" i="1"/>
  <c r="AU20" i="1"/>
  <c r="AU21" i="1" s="1"/>
  <c r="AU22" i="1" s="1"/>
  <c r="AW193" i="1"/>
  <c r="DB166" i="1"/>
  <c r="DC166" i="1" s="1"/>
  <c r="CH137" i="1"/>
  <c r="CH136" i="1"/>
  <c r="CR136" i="1" s="1"/>
  <c r="AV124" i="1"/>
  <c r="AV125" i="1" s="1"/>
  <c r="AV126" i="1" s="1"/>
  <c r="AW93" i="1"/>
  <c r="AW145" i="1"/>
  <c r="AW212" i="1"/>
  <c r="AW112" i="1"/>
  <c r="AJ59" i="1"/>
  <c r="AJ60" i="1" s="1"/>
  <c r="AK60" i="1" s="1"/>
  <c r="DB12" i="1"/>
  <c r="DC12" i="1" s="1"/>
  <c r="J12" i="1"/>
  <c r="CH12" i="1" s="1"/>
  <c r="CR12" i="1" s="1"/>
  <c r="DB165" i="1"/>
  <c r="DC165" i="1" s="1"/>
  <c r="CH138" i="1"/>
  <c r="AK220" i="1"/>
  <c r="AW169" i="1"/>
  <c r="CH199" i="1"/>
  <c r="AV132" i="1"/>
  <c r="AV133" i="1" s="1"/>
  <c r="AV134" i="1" s="1"/>
  <c r="DB220" i="1"/>
  <c r="DC220" i="1" s="1"/>
  <c r="DB167" i="1"/>
  <c r="DC167" i="1" s="1"/>
  <c r="AV70" i="1"/>
  <c r="AV71" i="1" s="1"/>
  <c r="AW241" i="1"/>
  <c r="BC56" i="1"/>
  <c r="I12" i="1"/>
  <c r="CH98" i="1"/>
  <c r="CH126" i="1"/>
  <c r="DB187" i="1"/>
  <c r="DC187" i="1" s="1"/>
  <c r="CH144" i="1"/>
  <c r="CH142" i="1"/>
  <c r="DB130" i="1"/>
  <c r="DC130" i="1" s="1"/>
  <c r="BF21" i="1"/>
  <c r="BF22" i="1" s="1"/>
  <c r="BI22" i="1" s="1"/>
  <c r="AV78" i="1"/>
  <c r="AW103" i="1"/>
  <c r="AW163" i="1"/>
  <c r="BI57" i="1"/>
  <c r="CD59" i="1"/>
  <c r="CD57" i="1"/>
  <c r="CH57" i="1"/>
  <c r="DB57" i="1"/>
  <c r="DC57" i="1" s="1"/>
  <c r="CH59" i="1"/>
  <c r="DB60" i="1"/>
  <c r="DC60" i="1" s="1"/>
  <c r="K60" i="1"/>
  <c r="CH60" i="1"/>
  <c r="AW15" i="1"/>
  <c r="CI57" i="1"/>
  <c r="K140" i="1"/>
  <c r="K215" i="1"/>
  <c r="CI158" i="1"/>
  <c r="K139" i="1"/>
  <c r="CH107" i="1"/>
  <c r="DB120" i="1"/>
  <c r="DC120" i="1" s="1"/>
  <c r="BE253" i="1"/>
  <c r="BF59" i="1"/>
  <c r="DB59" i="1"/>
  <c r="DC59" i="1" s="1"/>
  <c r="BT48" i="1"/>
  <c r="AW23" i="1"/>
  <c r="K57" i="1"/>
  <c r="CI59" i="1"/>
  <c r="CI60" i="1"/>
  <c r="K225" i="1"/>
  <c r="CI107" i="1"/>
  <c r="CF136" i="1"/>
  <c r="DB132" i="1"/>
  <c r="DC132" i="1" s="1"/>
  <c r="BE260" i="1"/>
  <c r="DB142" i="1"/>
  <c r="DC142" i="1" s="1"/>
  <c r="AW87" i="1"/>
  <c r="AW135" i="1"/>
  <c r="AW205" i="1"/>
  <c r="AW56" i="1"/>
  <c r="AW27" i="1"/>
  <c r="AW256" i="1"/>
  <c r="K59" i="1"/>
  <c r="K208" i="1"/>
  <c r="K158" i="1"/>
  <c r="CI156" i="1"/>
  <c r="CI225" i="1"/>
  <c r="CI270" i="1"/>
  <c r="CH213" i="1"/>
  <c r="CR213" i="1" s="1"/>
  <c r="CH183" i="1"/>
  <c r="CI140" i="1"/>
  <c r="CH30" i="1"/>
  <c r="CH158" i="1"/>
  <c r="K144" i="1"/>
  <c r="CI208" i="1"/>
  <c r="CH225" i="1"/>
  <c r="BE66" i="1"/>
  <c r="AU104" i="1"/>
  <c r="AU105" i="1" s="1"/>
  <c r="AU106" i="1" s="1"/>
  <c r="AU107" i="1" s="1"/>
  <c r="BB56" i="1"/>
  <c r="AW231" i="1"/>
  <c r="CI257" i="1"/>
  <c r="K220" i="1"/>
  <c r="CH125" i="1"/>
  <c r="CI188" i="1"/>
  <c r="AW108" i="1"/>
  <c r="AW164" i="1"/>
  <c r="AW238" i="1"/>
  <c r="BD56" i="1"/>
  <c r="CH257" i="1"/>
  <c r="K233" i="1"/>
  <c r="CR98" i="1"/>
  <c r="DB129" i="1"/>
  <c r="DC129" i="1" s="1"/>
  <c r="AW115" i="1"/>
  <c r="AW119" i="1"/>
  <c r="BC228" i="1"/>
  <c r="AN126" i="1"/>
  <c r="DB126" i="1" s="1"/>
  <c r="DC126" i="1" s="1"/>
  <c r="DB125" i="1"/>
  <c r="DC125" i="1" s="1"/>
  <c r="BC260" i="1"/>
  <c r="BS16" i="1"/>
  <c r="BC115" i="1"/>
  <c r="BC77" i="1"/>
  <c r="CH192" i="1"/>
  <c r="CH139" i="1"/>
  <c r="CX5" i="1"/>
  <c r="BC253" i="1"/>
  <c r="CI215" i="1"/>
  <c r="CF211" i="1"/>
  <c r="CI120" i="1"/>
  <c r="CI200" i="1"/>
  <c r="CH211" i="1"/>
  <c r="DB196" i="1"/>
  <c r="DC196" i="1" s="1"/>
  <c r="K120" i="1"/>
  <c r="CI124" i="1"/>
  <c r="CH177" i="1"/>
  <c r="BC251" i="1"/>
  <c r="BO16" i="1"/>
  <c r="CI192" i="1"/>
  <c r="CH100" i="1"/>
  <c r="AJ125" i="1"/>
  <c r="AK125" i="1" s="1"/>
  <c r="CH149" i="1"/>
  <c r="CH226" i="1"/>
  <c r="K206" i="1"/>
  <c r="K196" i="1"/>
  <c r="CI211" i="1"/>
  <c r="CF30" i="1"/>
  <c r="CF67" i="1"/>
  <c r="BC87" i="1"/>
  <c r="BC72" i="1"/>
  <c r="BC69" i="1"/>
  <c r="BC93" i="1"/>
  <c r="CH197" i="1"/>
  <c r="EY135" i="1"/>
  <c r="BC246" i="1"/>
  <c r="AJ121" i="1"/>
  <c r="AK121" i="1" s="1"/>
  <c r="BC61" i="1"/>
  <c r="DB197" i="1"/>
  <c r="DC197" i="1" s="1"/>
  <c r="CI187" i="1"/>
  <c r="CH151" i="1"/>
  <c r="K213" i="1"/>
  <c r="K124" i="1"/>
  <c r="CI271" i="1"/>
  <c r="BC263" i="1"/>
  <c r="CH196" i="1"/>
  <c r="CI28" i="1"/>
  <c r="CF124" i="1"/>
  <c r="AO148" i="1"/>
  <c r="DB148" i="1" s="1"/>
  <c r="DC148" i="1" s="1"/>
  <c r="DB147" i="1"/>
  <c r="DC147" i="1" s="1"/>
  <c r="AP100" i="1"/>
  <c r="K99" i="1"/>
  <c r="DB268" i="1"/>
  <c r="AO269" i="1"/>
  <c r="AO270" i="1" s="1"/>
  <c r="AO271" i="1" s="1"/>
  <c r="CI240" i="1"/>
  <c r="K240" i="1"/>
  <c r="AM134" i="1"/>
  <c r="CH133" i="1"/>
  <c r="AO26" i="1"/>
  <c r="DB26" i="1" s="1"/>
  <c r="DC26" i="1" s="1"/>
  <c r="DB25" i="1"/>
  <c r="DC25" i="1" s="1"/>
  <c r="AP35" i="1"/>
  <c r="K34" i="1"/>
  <c r="CI34" i="1"/>
  <c r="K226" i="1"/>
  <c r="CI122" i="1"/>
  <c r="CH70" i="1"/>
  <c r="Q13" i="1"/>
  <c r="BS13" i="1" s="1"/>
  <c r="AK232" i="1"/>
  <c r="K217" i="1"/>
  <c r="CF210" i="1"/>
  <c r="CI210" i="1"/>
  <c r="CI232" i="1"/>
  <c r="CH271" i="1"/>
  <c r="CH161" i="1"/>
  <c r="CF174" i="1"/>
  <c r="DB24" i="1"/>
  <c r="DC24" i="1" s="1"/>
  <c r="CH109" i="1"/>
  <c r="CR109" i="1" s="1"/>
  <c r="AK16" i="1"/>
  <c r="CH148" i="1"/>
  <c r="K29" i="1"/>
  <c r="K201" i="1"/>
  <c r="CI174" i="1"/>
  <c r="K224" i="1"/>
  <c r="CF28" i="1"/>
  <c r="FL135" i="1"/>
  <c r="DB258" i="1"/>
  <c r="DC258" i="1" s="1"/>
  <c r="CH110" i="1"/>
  <c r="CH250" i="1"/>
  <c r="AJ143" i="1"/>
  <c r="BR48" i="1"/>
  <c r="AJ25" i="1"/>
  <c r="AK25" i="1" s="1"/>
  <c r="CI26" i="1"/>
  <c r="BS12" i="1"/>
  <c r="BT62" i="1"/>
  <c r="DB267" i="1"/>
  <c r="CI197" i="1"/>
  <c r="CF12" i="1"/>
  <c r="K207" i="1"/>
  <c r="C150" i="1"/>
  <c r="FE238" i="1"/>
  <c r="DB261" i="1"/>
  <c r="DC261" i="1" s="1"/>
  <c r="AJ147" i="1"/>
  <c r="AK147" i="1" s="1"/>
  <c r="K143" i="1"/>
  <c r="K142" i="1"/>
  <c r="BS116" i="1"/>
  <c r="CH190" i="1"/>
  <c r="K200" i="1"/>
  <c r="CI245" i="1"/>
  <c r="DB194" i="1"/>
  <c r="DC194" i="1" s="1"/>
  <c r="CF185" i="1"/>
  <c r="CH28" i="1"/>
  <c r="CF125" i="1"/>
  <c r="FL15" i="1"/>
  <c r="DB109" i="1"/>
  <c r="DC109" i="1" s="1"/>
  <c r="CI147" i="1"/>
  <c r="BT16" i="1"/>
  <c r="K12" i="1"/>
  <c r="K199" i="1"/>
  <c r="K188" i="1"/>
  <c r="CI224" i="1"/>
  <c r="CI201" i="1"/>
  <c r="CF197" i="1"/>
  <c r="AJ49" i="1"/>
  <c r="BR116" i="1"/>
  <c r="BI117" i="1"/>
  <c r="BF89" i="1"/>
  <c r="BI89" i="1" s="1"/>
  <c r="K245" i="1"/>
  <c r="K190" i="1"/>
  <c r="DB257" i="1"/>
  <c r="DC257" i="1" s="1"/>
  <c r="DB259" i="1"/>
  <c r="DC259" i="1" s="1"/>
  <c r="BR16" i="1"/>
  <c r="K197" i="1"/>
  <c r="CH255" i="1"/>
  <c r="BI70" i="1"/>
  <c r="BA141" i="1"/>
  <c r="EY238" i="1"/>
  <c r="CI199" i="1"/>
  <c r="EY231" i="1"/>
  <c r="CH252" i="1"/>
  <c r="DB252" i="1"/>
  <c r="DC252" i="1" s="1"/>
  <c r="CH73" i="1"/>
  <c r="FL69" i="1"/>
  <c r="K174" i="1"/>
  <c r="DB195" i="1"/>
  <c r="DC195" i="1" s="1"/>
  <c r="CF224" i="1"/>
  <c r="CH184" i="1"/>
  <c r="CI22" i="1"/>
  <c r="CI40" i="1"/>
  <c r="K40" i="1"/>
  <c r="AN270" i="1"/>
  <c r="AN271" i="1" s="1"/>
  <c r="AP177" i="1"/>
  <c r="K176" i="1"/>
  <c r="CI176" i="1"/>
  <c r="CH245" i="1"/>
  <c r="DB245" i="1"/>
  <c r="DC245" i="1" s="1"/>
  <c r="AN149" i="1"/>
  <c r="AN150" i="1" s="1"/>
  <c r="AN151" i="1" s="1"/>
  <c r="AN152" i="1" s="1"/>
  <c r="AP130" i="1"/>
  <c r="CI129" i="1"/>
  <c r="AN30" i="1"/>
  <c r="DB30" i="1" s="1"/>
  <c r="DC30" i="1" s="1"/>
  <c r="DB29" i="1"/>
  <c r="DC29" i="1" s="1"/>
  <c r="AP45" i="1"/>
  <c r="CI44" i="1"/>
  <c r="K44" i="1"/>
  <c r="T50" i="1"/>
  <c r="T51" i="1" s="1"/>
  <c r="BS51" i="1" s="1"/>
  <c r="I49" i="1"/>
  <c r="J49" i="1"/>
  <c r="CH49" i="1" s="1"/>
  <c r="U18" i="1"/>
  <c r="BT18" i="1" s="1"/>
  <c r="BT17" i="1"/>
  <c r="T18" i="1"/>
  <c r="J17" i="1"/>
  <c r="K17" i="1" s="1"/>
  <c r="I17" i="1"/>
  <c r="BR17" i="1"/>
  <c r="DH69" i="1"/>
  <c r="DG69" i="1" s="1"/>
  <c r="DG27" i="1"/>
  <c r="CI144" i="1"/>
  <c r="CF171" i="1"/>
  <c r="BD37" i="1"/>
  <c r="BD169" i="1"/>
  <c r="BD241" i="1"/>
  <c r="BD23" i="1"/>
  <c r="BD263" i="1"/>
  <c r="BI239" i="1"/>
  <c r="AJ21" i="1"/>
  <c r="AJ22" i="1" s="1"/>
  <c r="AK22" i="1" s="1"/>
  <c r="FL115" i="1"/>
  <c r="CT91" i="1"/>
  <c r="CF150" i="1"/>
  <c r="CI43" i="1"/>
  <c r="CI216" i="1"/>
  <c r="CI142" i="1"/>
  <c r="CF267" i="1"/>
  <c r="BD103" i="1"/>
  <c r="BD123" i="1"/>
  <c r="BD238" i="1"/>
  <c r="BD164" i="1"/>
  <c r="K89" i="1"/>
  <c r="CI194" i="1"/>
  <c r="CH220" i="1"/>
  <c r="CR220" i="1" s="1"/>
  <c r="K202" i="1"/>
  <c r="K171" i="1"/>
  <c r="CI146" i="1"/>
  <c r="CF232" i="1"/>
  <c r="I165" i="1"/>
  <c r="DB20" i="1"/>
  <c r="DC20" i="1" s="1"/>
  <c r="CH170" i="1"/>
  <c r="CF161" i="1"/>
  <c r="BD212" i="1"/>
  <c r="BD243" i="1"/>
  <c r="BD186" i="1"/>
  <c r="CF68" i="1"/>
  <c r="K267" i="1"/>
  <c r="K187" i="1"/>
  <c r="CI244" i="1"/>
  <c r="J165" i="1"/>
  <c r="CF165" i="1" s="1"/>
  <c r="CH175" i="1"/>
  <c r="DB136" i="1"/>
  <c r="DC136" i="1" s="1"/>
  <c r="BD193" i="1"/>
  <c r="BD97" i="1"/>
  <c r="BD31" i="1"/>
  <c r="BD66" i="1"/>
  <c r="CI68" i="1"/>
  <c r="BD251" i="1"/>
  <c r="AJ240" i="1"/>
  <c r="AK240" i="1" s="1"/>
  <c r="AJ188" i="1"/>
  <c r="AP148" i="1"/>
  <c r="BF133" i="1"/>
  <c r="BF134" i="1" s="1"/>
  <c r="BI134" i="1" s="1"/>
  <c r="BT116" i="1"/>
  <c r="CH230" i="1"/>
  <c r="DB155" i="1"/>
  <c r="DC155" i="1" s="1"/>
  <c r="CH216" i="1"/>
  <c r="CF268" i="1"/>
  <c r="K232" i="1"/>
  <c r="K43" i="1"/>
  <c r="K147" i="1"/>
  <c r="CI175" i="1"/>
  <c r="CI268" i="1"/>
  <c r="K259" i="1"/>
  <c r="CI100" i="1"/>
  <c r="ES238" i="1"/>
  <c r="BD205" i="1"/>
  <c r="BD11" i="1"/>
  <c r="BD119" i="1"/>
  <c r="CR24" i="1"/>
  <c r="AK233" i="1"/>
  <c r="BF255" i="1"/>
  <c r="BI255" i="1" s="1"/>
  <c r="U166" i="1"/>
  <c r="U167" i="1" s="1"/>
  <c r="U168" i="1" s="1"/>
  <c r="CH194" i="1"/>
  <c r="CR194" i="1" s="1"/>
  <c r="CH227" i="1"/>
  <c r="CF220" i="1"/>
  <c r="K22" i="1"/>
  <c r="K175" i="1"/>
  <c r="K218" i="1"/>
  <c r="CI121" i="1"/>
  <c r="CI202" i="1"/>
  <c r="K25" i="1"/>
  <c r="BD47" i="1"/>
  <c r="BD209" i="1"/>
  <c r="BD131" i="1"/>
  <c r="BD141" i="1"/>
  <c r="CH120" i="1"/>
  <c r="CR120" i="1" s="1"/>
  <c r="CH248" i="1"/>
  <c r="T166" i="1"/>
  <c r="BR166" i="1" s="1"/>
  <c r="DB78" i="1"/>
  <c r="DC78" i="1" s="1"/>
  <c r="CH187" i="1"/>
  <c r="CR187" i="1" s="1"/>
  <c r="K194" i="1"/>
  <c r="K161" i="1"/>
  <c r="K268" i="1"/>
  <c r="CI132" i="1"/>
  <c r="CI25" i="1"/>
  <c r="BD180" i="1"/>
  <c r="BD198" i="1"/>
  <c r="BD153" i="1"/>
  <c r="BD108" i="1"/>
  <c r="BF74" i="1"/>
  <c r="BI74" i="1" s="1"/>
  <c r="CD70" i="1"/>
  <c r="CH150" i="1"/>
  <c r="K21" i="1"/>
  <c r="K129" i="1"/>
  <c r="K132" i="1"/>
  <c r="K216" i="1"/>
  <c r="CF98" i="1"/>
  <c r="EY15" i="1"/>
  <c r="BD266" i="1"/>
  <c r="BD135" i="1"/>
  <c r="BD154" i="1"/>
  <c r="BD163" i="1"/>
  <c r="CH247" i="1"/>
  <c r="DB250" i="1"/>
  <c r="DC250" i="1" s="1"/>
  <c r="AJ268" i="1"/>
  <c r="AJ269" i="1" s="1"/>
  <c r="AK269" i="1" s="1"/>
  <c r="FL77" i="1"/>
  <c r="CI259" i="1"/>
  <c r="K98" i="1"/>
  <c r="K121" i="1"/>
  <c r="CI267" i="1"/>
  <c r="CI218" i="1"/>
  <c r="K24" i="1"/>
  <c r="DB98" i="1"/>
  <c r="DC98" i="1" s="1"/>
  <c r="BD41" i="1"/>
  <c r="BD231" i="1"/>
  <c r="BD145" i="1"/>
  <c r="BI147" i="1"/>
  <c r="K244" i="1"/>
  <c r="CI98" i="1"/>
  <c r="CI24" i="1"/>
  <c r="CH43" i="1"/>
  <c r="BD112" i="1"/>
  <c r="BD173" i="1"/>
  <c r="BD256" i="1"/>
  <c r="BD246" i="1"/>
  <c r="AK91" i="1"/>
  <c r="C32" i="1"/>
  <c r="C34" i="1"/>
  <c r="CF242" i="1"/>
  <c r="K242" i="1"/>
  <c r="CH242" i="1"/>
  <c r="CI242" i="1"/>
  <c r="BV55" i="1"/>
  <c r="K159" i="1"/>
  <c r="K128" i="1"/>
  <c r="CF128" i="1"/>
  <c r="CH128" i="1"/>
  <c r="CI128" i="1"/>
  <c r="CF189" i="1"/>
  <c r="CI189" i="1"/>
  <c r="CH189" i="1"/>
  <c r="K189" i="1"/>
  <c r="K155" i="1"/>
  <c r="CF155" i="1"/>
  <c r="AP182" i="1"/>
  <c r="AP183" i="1" s="1"/>
  <c r="CI181" i="1"/>
  <c r="DB33" i="1"/>
  <c r="DC33" i="1" s="1"/>
  <c r="AO34" i="1"/>
  <c r="CF48" i="1"/>
  <c r="K48" i="1"/>
  <c r="CH104" i="1"/>
  <c r="CR104" i="1" s="1"/>
  <c r="CF104" i="1"/>
  <c r="CI104" i="1"/>
  <c r="K104" i="1"/>
  <c r="CF106" i="1"/>
  <c r="CH106" i="1"/>
  <c r="K106" i="1"/>
  <c r="AK194" i="1"/>
  <c r="AJ195" i="1"/>
  <c r="AJ196" i="1" s="1"/>
  <c r="CI261" i="1"/>
  <c r="CH261" i="1"/>
  <c r="CH254" i="1"/>
  <c r="CF254" i="1"/>
  <c r="AO106" i="1"/>
  <c r="DB105" i="1"/>
  <c r="DC105" i="1" s="1"/>
  <c r="AM172" i="1"/>
  <c r="DB172" i="1" s="1"/>
  <c r="DC172" i="1" s="1"/>
  <c r="CH171" i="1"/>
  <c r="DB171" i="1"/>
  <c r="DC171" i="1" s="1"/>
  <c r="AK247" i="1"/>
  <c r="AJ248" i="1"/>
  <c r="AK248" i="1" s="1"/>
  <c r="CF217" i="1"/>
  <c r="CH217" i="1"/>
  <c r="CF105" i="1"/>
  <c r="K105" i="1"/>
  <c r="CH105" i="1"/>
  <c r="BO166" i="1"/>
  <c r="AP126" i="1"/>
  <c r="K125" i="1"/>
  <c r="BA66" i="1"/>
  <c r="BA238" i="1"/>
  <c r="BA223" i="1"/>
  <c r="BA27" i="1"/>
  <c r="BA131" i="1"/>
  <c r="BA69" i="1"/>
  <c r="BA77" i="1"/>
  <c r="BA253" i="1"/>
  <c r="BA154" i="1"/>
  <c r="BA198" i="1"/>
  <c r="BA23" i="1"/>
  <c r="BA228" i="1"/>
  <c r="BA61" i="1"/>
  <c r="BA163" i="1"/>
  <c r="BA31" i="1"/>
  <c r="BA112" i="1"/>
  <c r="BA173" i="1"/>
  <c r="BA256" i="1"/>
  <c r="BA47" i="1"/>
  <c r="BA115" i="1"/>
  <c r="BA263" i="1"/>
  <c r="BA108" i="1"/>
  <c r="BA153" i="1"/>
  <c r="BA123" i="1"/>
  <c r="BA97" i="1"/>
  <c r="BA212" i="1"/>
  <c r="BA193" i="1"/>
  <c r="BA169" i="1"/>
  <c r="BA243" i="1"/>
  <c r="BA145" i="1"/>
  <c r="BA103" i="1"/>
  <c r="BA11" i="1"/>
  <c r="BA127" i="1"/>
  <c r="BA15" i="1"/>
  <c r="BA209" i="1"/>
  <c r="BA241" i="1"/>
  <c r="CH159" i="1"/>
  <c r="CF159" i="1"/>
  <c r="AO122" i="1"/>
  <c r="DB122" i="1" s="1"/>
  <c r="DC122" i="1" s="1"/>
  <c r="DB121" i="1"/>
  <c r="DC121" i="1" s="1"/>
  <c r="AP221" i="1"/>
  <c r="K221" i="1" s="1"/>
  <c r="CI220" i="1"/>
  <c r="CH214" i="1"/>
  <c r="CI214" i="1"/>
  <c r="K214" i="1"/>
  <c r="CH42" i="1"/>
  <c r="CI42" i="1"/>
  <c r="CF42" i="1"/>
  <c r="CH146" i="1"/>
  <c r="CR146" i="1" s="1"/>
  <c r="BI258" i="1"/>
  <c r="BF259" i="1"/>
  <c r="BI259" i="1" s="1"/>
  <c r="AN14" i="1"/>
  <c r="DB14" i="1" s="1"/>
  <c r="DC14" i="1" s="1"/>
  <c r="DB13" i="1"/>
  <c r="DC13" i="1" s="1"/>
  <c r="C226" i="1"/>
  <c r="C225" i="1"/>
  <c r="C227" i="1" s="1"/>
  <c r="CH21" i="1"/>
  <c r="CI21" i="1"/>
  <c r="CF21" i="1"/>
  <c r="CF111" i="1"/>
  <c r="CH111" i="1"/>
  <c r="CI111" i="1"/>
  <c r="AO248" i="1"/>
  <c r="DB248" i="1" s="1"/>
  <c r="DC248" i="1" s="1"/>
  <c r="DB247" i="1"/>
  <c r="DC247" i="1" s="1"/>
  <c r="AO222" i="1"/>
  <c r="DB222" i="1" s="1"/>
  <c r="DC222" i="1" s="1"/>
  <c r="DB221" i="1"/>
  <c r="DC221" i="1" s="1"/>
  <c r="DB156" i="1"/>
  <c r="DC156" i="1" s="1"/>
  <c r="AO157" i="1"/>
  <c r="K26" i="1"/>
  <c r="CH26" i="1"/>
  <c r="CF26" i="1"/>
  <c r="AK244" i="1"/>
  <c r="AJ245" i="1"/>
  <c r="AK245" i="1" s="1"/>
  <c r="AP227" i="1"/>
  <c r="CI226" i="1"/>
  <c r="AM22" i="1"/>
  <c r="DB22" i="1" s="1"/>
  <c r="DC22" i="1" s="1"/>
  <c r="DB21" i="1"/>
  <c r="DC21" i="1" s="1"/>
  <c r="CH195" i="1"/>
  <c r="CF195" i="1"/>
  <c r="CI195" i="1"/>
  <c r="CH99" i="1"/>
  <c r="CI99" i="1"/>
  <c r="AO183" i="1"/>
  <c r="DB182" i="1"/>
  <c r="DC182" i="1" s="1"/>
  <c r="AP134" i="1"/>
  <c r="K133" i="1"/>
  <c r="CI133" i="1"/>
  <c r="CD34" i="1"/>
  <c r="CD133" i="1"/>
  <c r="BF125" i="1"/>
  <c r="BI125" i="1" s="1"/>
  <c r="BI120" i="1"/>
  <c r="DB73" i="1"/>
  <c r="DC73" i="1" s="1"/>
  <c r="BI94" i="1"/>
  <c r="J95" i="1"/>
  <c r="FL238" i="1"/>
  <c r="CF121" i="1"/>
  <c r="AJ137" i="1"/>
  <c r="AK137" i="1" s="1"/>
  <c r="CD113" i="1"/>
  <c r="FR113" i="1" s="1"/>
  <c r="BS49" i="1"/>
  <c r="AJ89" i="1"/>
  <c r="AK89" i="1" s="1"/>
  <c r="AK80" i="1"/>
  <c r="CI125" i="1"/>
  <c r="CH38" i="1"/>
  <c r="DB199" i="1"/>
  <c r="DC199" i="1" s="1"/>
  <c r="FE135" i="1"/>
  <c r="BA260" i="1"/>
  <c r="K255" i="1"/>
  <c r="AK261" i="1"/>
  <c r="BI257" i="1"/>
  <c r="BO165" i="1"/>
  <c r="BI38" i="1"/>
  <c r="BR49" i="1"/>
  <c r="BI12" i="1"/>
  <c r="I94" i="1"/>
  <c r="BS94" i="1"/>
  <c r="DB91" i="1"/>
  <c r="DC91" i="1" s="1"/>
  <c r="FE15" i="1"/>
  <c r="CI38" i="1"/>
  <c r="AK165" i="1"/>
  <c r="CD139" i="1"/>
  <c r="BI16" i="1"/>
  <c r="CF24" i="1"/>
  <c r="CF248" i="1"/>
  <c r="FE115" i="1"/>
  <c r="CI64" i="1"/>
  <c r="BF92" i="1"/>
  <c r="BI92" i="1" s="1"/>
  <c r="DB232" i="1"/>
  <c r="DC232" i="1" s="1"/>
  <c r="CR206" i="1"/>
  <c r="K248" i="1"/>
  <c r="BF225" i="1"/>
  <c r="CD32" i="1"/>
  <c r="AJ133" i="1"/>
  <c r="AJ134" i="1" s="1"/>
  <c r="AK134" i="1" s="1"/>
  <c r="CR115" i="1"/>
  <c r="CR224" i="1"/>
  <c r="CH101" i="1"/>
  <c r="ES231" i="1"/>
  <c r="CF129" i="1"/>
  <c r="AJ225" i="1"/>
  <c r="AK225" i="1" s="1"/>
  <c r="BF166" i="1"/>
  <c r="BF167" i="1" s="1"/>
  <c r="BF168" i="1" s="1"/>
  <c r="BI168" i="1" s="1"/>
  <c r="BB115" i="1"/>
  <c r="BN94" i="1"/>
  <c r="FE231" i="1"/>
  <c r="CZ5" i="1"/>
  <c r="AJ129" i="1"/>
  <c r="AK129" i="1" s="1"/>
  <c r="CH80" i="1"/>
  <c r="CR80" i="1" s="1"/>
  <c r="AK174" i="1"/>
  <c r="BS165" i="1"/>
  <c r="CD40" i="1"/>
  <c r="BB61" i="1"/>
  <c r="AK62" i="1"/>
  <c r="DB62" i="1"/>
  <c r="DC62" i="1" s="1"/>
  <c r="BB77" i="1"/>
  <c r="X117" i="1"/>
  <c r="BW117" i="1" s="1"/>
  <c r="BB228" i="1"/>
  <c r="BB87" i="1"/>
  <c r="BB72" i="1"/>
  <c r="AP18" i="1"/>
  <c r="CI17" i="1"/>
  <c r="DH266" i="1"/>
  <c r="DG266" i="1" s="1"/>
  <c r="C215" i="1"/>
  <c r="C217" i="1" s="1"/>
  <c r="C218" i="1" s="1"/>
  <c r="C216" i="1"/>
  <c r="K146" i="1"/>
  <c r="K210" i="1"/>
  <c r="CH233" i="1"/>
  <c r="CH46" i="1"/>
  <c r="CF33" i="1"/>
  <c r="CH29" i="1"/>
  <c r="CF29" i="1"/>
  <c r="CI233" i="1"/>
  <c r="AO233" i="1"/>
  <c r="AO234" i="1" s="1"/>
  <c r="CF213" i="1"/>
  <c r="BF233" i="1"/>
  <c r="CH181" i="1"/>
  <c r="CF181" i="1"/>
  <c r="CH207" i="1"/>
  <c r="CF207" i="1"/>
  <c r="CR225" i="1"/>
  <c r="CS6" i="1"/>
  <c r="CS5" i="1" s="1"/>
  <c r="CH232" i="1"/>
  <c r="CF34" i="1"/>
  <c r="CH48" i="1"/>
  <c r="CR48" i="1" s="1"/>
  <c r="CH36" i="1"/>
  <c r="CH102" i="1"/>
  <c r="AM200" i="1"/>
  <c r="DB200" i="1" s="1"/>
  <c r="DC200" i="1" s="1"/>
  <c r="CH157" i="1"/>
  <c r="FL163" i="1"/>
  <c r="CF99" i="1"/>
  <c r="FF164" i="1"/>
  <c r="FE163" i="1"/>
  <c r="CF269" i="1"/>
  <c r="CF239" i="1"/>
  <c r="FL231" i="1"/>
  <c r="CH156" i="1"/>
  <c r="EY164" i="1"/>
  <c r="CH130" i="1"/>
  <c r="CR267" i="1"/>
  <c r="ES164" i="1"/>
  <c r="DB133" i="1"/>
  <c r="DC133" i="1" s="1"/>
  <c r="CH143" i="1"/>
  <c r="CI254" i="1"/>
  <c r="AK257" i="1"/>
  <c r="CD259" i="1"/>
  <c r="CD181" i="1"/>
  <c r="AK170" i="1"/>
  <c r="AJ171" i="1"/>
  <c r="U50" i="1"/>
  <c r="BT49" i="1"/>
  <c r="ES135" i="1"/>
  <c r="CH134" i="1"/>
  <c r="CD68" i="1"/>
  <c r="K262" i="1"/>
  <c r="K247" i="1"/>
  <c r="CF264" i="1"/>
  <c r="CH67" i="1"/>
  <c r="K67" i="1"/>
  <c r="AO99" i="1"/>
  <c r="CD189" i="1"/>
  <c r="CD183" i="1"/>
  <c r="CH262" i="1"/>
  <c r="CI264" i="1"/>
  <c r="AO68" i="1"/>
  <c r="DB68" i="1" s="1"/>
  <c r="DC68" i="1" s="1"/>
  <c r="DB67" i="1"/>
  <c r="DC67" i="1" s="1"/>
  <c r="AO211" i="1"/>
  <c r="CD67" i="1"/>
  <c r="EO67" i="1" s="1"/>
  <c r="CD254" i="1"/>
  <c r="AJ226" i="1"/>
  <c r="AK226" i="1" s="1"/>
  <c r="BD90" i="1"/>
  <c r="BD228" i="1"/>
  <c r="BD93" i="1"/>
  <c r="BD69" i="1"/>
  <c r="BD77" i="1"/>
  <c r="BD61" i="1"/>
  <c r="BD87" i="1"/>
  <c r="BD72" i="1"/>
  <c r="BD115" i="1"/>
  <c r="CF247" i="1"/>
  <c r="AO143" i="1"/>
  <c r="CD174" i="1"/>
  <c r="X14" i="1"/>
  <c r="BW14" i="1" s="1"/>
  <c r="BW13" i="1"/>
  <c r="BE90" i="1"/>
  <c r="BE79" i="1"/>
  <c r="BE228" i="1"/>
  <c r="BE93" i="1"/>
  <c r="BE69" i="1"/>
  <c r="BE61" i="1"/>
  <c r="BE87" i="1"/>
  <c r="BE77" i="1"/>
  <c r="BE72" i="1"/>
  <c r="BE115" i="1"/>
  <c r="BE251" i="1"/>
  <c r="CH264" i="1"/>
  <c r="K264" i="1"/>
  <c r="BF106" i="1"/>
  <c r="BI105" i="1"/>
  <c r="CD262" i="1"/>
  <c r="CD211" i="1"/>
  <c r="AJ176" i="1"/>
  <c r="AK175" i="1"/>
  <c r="CY5" i="1"/>
  <c r="K254" i="1"/>
  <c r="BI264" i="1"/>
  <c r="BI261" i="1"/>
  <c r="BF262" i="1"/>
  <c r="BI262" i="1" s="1"/>
  <c r="CD261" i="1"/>
  <c r="C178" i="1"/>
  <c r="CR174" i="1"/>
  <c r="AJ255" i="1"/>
  <c r="AK255" i="1" s="1"/>
  <c r="CD264" i="1"/>
  <c r="BF26" i="1"/>
  <c r="BI26" i="1" s="1"/>
  <c r="BI25" i="1"/>
  <c r="BS17" i="1"/>
  <c r="BO17" i="1"/>
  <c r="CD12" i="1"/>
  <c r="CI78" i="1"/>
  <c r="CI229" i="1"/>
  <c r="CD258" i="1"/>
  <c r="CD210" i="1"/>
  <c r="CD235" i="1"/>
  <c r="CN235" i="1" s="1"/>
  <c r="CD202" i="1"/>
  <c r="CN202" i="1" s="1"/>
  <c r="CD199" i="1"/>
  <c r="CN199" i="1" s="1"/>
  <c r="CD191" i="1"/>
  <c r="CP191" i="1" s="1"/>
  <c r="CD185" i="1"/>
  <c r="CD182" i="1"/>
  <c r="CO182" i="1" s="1"/>
  <c r="CD122" i="1"/>
  <c r="CD114" i="1"/>
  <c r="BI48" i="1"/>
  <c r="ES115" i="1"/>
  <c r="U13" i="1"/>
  <c r="CH78" i="1"/>
  <c r="K78" i="1"/>
  <c r="L7" i="1"/>
  <c r="CD152" i="1"/>
  <c r="CD48" i="1"/>
  <c r="CD46" i="1"/>
  <c r="BI68" i="1"/>
  <c r="CD257" i="1"/>
  <c r="BI220" i="1"/>
  <c r="BI213" i="1"/>
  <c r="CD213" i="1"/>
  <c r="BI194" i="1"/>
  <c r="CD194" i="1"/>
  <c r="CD178" i="1"/>
  <c r="CD142" i="1"/>
  <c r="CD102" i="1"/>
  <c r="CD91" i="1"/>
  <c r="CN91" i="1" s="1"/>
  <c r="CD208" i="1"/>
  <c r="BI181" i="1"/>
  <c r="AJ29" i="1"/>
  <c r="BF143" i="1"/>
  <c r="BF137" i="1"/>
  <c r="BF138" i="1" s="1"/>
  <c r="CD124" i="1"/>
  <c r="CD110" i="1"/>
  <c r="BI104" i="1"/>
  <c r="CD118" i="1"/>
  <c r="CN118" i="1" s="1"/>
  <c r="ES77" i="1"/>
  <c r="CF88" i="1"/>
  <c r="AO74" i="1"/>
  <c r="DB74" i="1" s="1"/>
  <c r="DC74" i="1" s="1"/>
  <c r="CD217" i="1"/>
  <c r="CD215" i="1"/>
  <c r="CD206" i="1"/>
  <c r="CD232" i="1"/>
  <c r="CN232" i="1" s="1"/>
  <c r="CD201" i="1"/>
  <c r="CN201" i="1" s="1"/>
  <c r="CD196" i="1"/>
  <c r="CD176" i="1"/>
  <c r="CD148" i="1"/>
  <c r="CD35" i="1"/>
  <c r="CD104" i="1"/>
  <c r="CD230" i="1"/>
  <c r="CN230" i="1" s="1"/>
  <c r="AJ211" i="1"/>
  <c r="AK211" i="1" s="1"/>
  <c r="CD207" i="1"/>
  <c r="CD130" i="1"/>
  <c r="CD126" i="1"/>
  <c r="CD98" i="1"/>
  <c r="EY115" i="1"/>
  <c r="BR62" i="1"/>
  <c r="FE77" i="1"/>
  <c r="BF230" i="1"/>
  <c r="BI230" i="1" s="1"/>
  <c r="FE69" i="1"/>
  <c r="DB94" i="1"/>
  <c r="DC94" i="1" s="1"/>
  <c r="CD271" i="1"/>
  <c r="BI268" i="1"/>
  <c r="CD234" i="1"/>
  <c r="CN234" i="1" s="1"/>
  <c r="CD190" i="1"/>
  <c r="CD175" i="1"/>
  <c r="CD143" i="1"/>
  <c r="CD137" i="1"/>
  <c r="CD269" i="1"/>
  <c r="CD224" i="1"/>
  <c r="CD177" i="1"/>
  <c r="BI42" i="1"/>
  <c r="BI24" i="1"/>
  <c r="BI13" i="1"/>
  <c r="K229" i="1"/>
  <c r="CD255" i="1"/>
  <c r="CD244" i="1"/>
  <c r="CD197" i="1"/>
  <c r="CD192" i="1"/>
  <c r="CD188" i="1"/>
  <c r="V162" i="1"/>
  <c r="BF156" i="1"/>
  <c r="CD150" i="1"/>
  <c r="CD39" i="1"/>
  <c r="CD140" i="1"/>
  <c r="BF129" i="1"/>
  <c r="BI129" i="1" s="1"/>
  <c r="AJ122" i="1"/>
  <c r="AK122" i="1" s="1"/>
  <c r="CD20" i="1"/>
  <c r="CD24" i="1"/>
  <c r="K230" i="1"/>
  <c r="DB230" i="1"/>
  <c r="DC230" i="1" s="1"/>
  <c r="K74" i="1"/>
  <c r="CD74" i="1"/>
  <c r="CN74" i="1" s="1"/>
  <c r="CD240" i="1"/>
  <c r="CD225" i="1"/>
  <c r="CD187" i="1"/>
  <c r="CD184" i="1"/>
  <c r="CD179" i="1"/>
  <c r="AJ156" i="1"/>
  <c r="BI62" i="1"/>
  <c r="EY77" i="1"/>
  <c r="AK229" i="1"/>
  <c r="DB229" i="1"/>
  <c r="DC229" i="1" s="1"/>
  <c r="AK94" i="1"/>
  <c r="DB95" i="1"/>
  <c r="DC95" i="1" s="1"/>
  <c r="CD83" i="1"/>
  <c r="CD265" i="1"/>
  <c r="CD227" i="1"/>
  <c r="CD233" i="1"/>
  <c r="CN233" i="1" s="1"/>
  <c r="CD200" i="1"/>
  <c r="CN200" i="1" s="1"/>
  <c r="CD195" i="1"/>
  <c r="V160" i="1"/>
  <c r="CD101" i="1"/>
  <c r="CH229" i="1"/>
  <c r="CD71" i="1"/>
  <c r="CD82" i="1"/>
  <c r="CH81" i="1"/>
  <c r="CD81" i="1"/>
  <c r="CP81" i="1" s="1"/>
  <c r="FE79" i="1"/>
  <c r="ES79" i="1"/>
  <c r="FL79" i="1"/>
  <c r="EY79" i="1"/>
  <c r="DB80" i="1"/>
  <c r="DC80" i="1" s="1"/>
  <c r="CF80" i="1"/>
  <c r="DB233" i="1"/>
  <c r="DC233" i="1" s="1"/>
  <c r="K234" i="1"/>
  <c r="AP235" i="1"/>
  <c r="CI234" i="1"/>
  <c r="FE164" i="1"/>
  <c r="CH20" i="1"/>
  <c r="CR20" i="1" s="1"/>
  <c r="CF20" i="1"/>
  <c r="CI20" i="1"/>
  <c r="K20" i="1"/>
  <c r="CF182" i="1"/>
  <c r="CH182" i="1"/>
  <c r="CH208" i="1"/>
  <c r="BF200" i="1"/>
  <c r="CH39" i="1"/>
  <c r="DG231" i="1"/>
  <c r="AM234" i="1"/>
  <c r="EY163" i="1"/>
  <c r="CH188" i="1"/>
  <c r="CF188" i="1"/>
  <c r="CH244" i="1"/>
  <c r="CW5" i="1"/>
  <c r="ES163" i="1"/>
  <c r="CH240" i="1"/>
  <c r="CF176" i="1"/>
  <c r="CH176" i="1"/>
  <c r="FM164" i="1"/>
  <c r="FL164" i="1" s="1"/>
  <c r="C138" i="1"/>
  <c r="C140" i="1" s="1"/>
  <c r="C139" i="1"/>
  <c r="CH122" i="1"/>
  <c r="CF259" i="1"/>
  <c r="CH25" i="1"/>
  <c r="CF25" i="1"/>
  <c r="C176" i="1"/>
  <c r="CH132" i="1"/>
  <c r="CF270" i="1"/>
  <c r="CH140" i="1"/>
  <c r="C175" i="1"/>
  <c r="C179" i="1" s="1"/>
  <c r="AJ235" i="1"/>
  <c r="AK235" i="1" s="1"/>
  <c r="AK234" i="1"/>
  <c r="CF262" i="1"/>
  <c r="CF255" i="1"/>
  <c r="ET67" i="1"/>
  <c r="BA246" i="1"/>
  <c r="AO111" i="1"/>
  <c r="DB111" i="1" s="1"/>
  <c r="DC111" i="1" s="1"/>
  <c r="CP68" i="1"/>
  <c r="EP68" i="1"/>
  <c r="EP251" i="1" s="1"/>
  <c r="CI262" i="1"/>
  <c r="CI255" i="1"/>
  <c r="FR39" i="1"/>
  <c r="CF265" i="1"/>
  <c r="AO175" i="1"/>
  <c r="AO138" i="1"/>
  <c r="CQ67" i="1"/>
  <c r="N67" i="1" s="1"/>
  <c r="EC67" i="1"/>
  <c r="FN67" i="1"/>
  <c r="FB67" i="1"/>
  <c r="FA67" i="1"/>
  <c r="K261" i="1"/>
  <c r="DB254" i="1"/>
  <c r="DC254" i="1" s="1"/>
  <c r="DB264" i="1"/>
  <c r="DC264" i="1" s="1"/>
  <c r="CH265" i="1"/>
  <c r="EO68" i="1"/>
  <c r="EO251" i="1" s="1"/>
  <c r="CP262" i="1"/>
  <c r="AT261" i="1"/>
  <c r="AT262" i="1" s="1"/>
  <c r="AO255" i="1"/>
  <c r="DB255" i="1" s="1"/>
  <c r="DC255" i="1" s="1"/>
  <c r="DB265" i="1"/>
  <c r="DC265" i="1" s="1"/>
  <c r="AO188" i="1"/>
  <c r="CI265" i="1"/>
  <c r="AO207" i="1"/>
  <c r="AJ200" i="1"/>
  <c r="CI248" i="1"/>
  <c r="AO149" i="1"/>
  <c r="CF261" i="1"/>
  <c r="CI252" i="1"/>
  <c r="CF252" i="1"/>
  <c r="K252" i="1"/>
  <c r="AO18" i="1"/>
  <c r="DB18" i="1" s="1"/>
  <c r="DC18" i="1" s="1"/>
  <c r="K265" i="1"/>
  <c r="AJ265" i="1"/>
  <c r="AK265" i="1" s="1"/>
  <c r="BI67" i="1"/>
  <c r="AJ259" i="1"/>
  <c r="AK259" i="1" s="1"/>
  <c r="BF269" i="1"/>
  <c r="CD214" i="1"/>
  <c r="BF176" i="1"/>
  <c r="BI175" i="1"/>
  <c r="CD252" i="1"/>
  <c r="CD242" i="1"/>
  <c r="CO227" i="1"/>
  <c r="CP227" i="1"/>
  <c r="BF226" i="1"/>
  <c r="BI225" i="1"/>
  <c r="BF189" i="1"/>
  <c r="BI188" i="1"/>
  <c r="CH68" i="1"/>
  <c r="CD250" i="1"/>
  <c r="CD268" i="1"/>
  <c r="AJ222" i="1"/>
  <c r="AK222" i="1" s="1"/>
  <c r="BI211" i="1"/>
  <c r="CQ194" i="1"/>
  <c r="N194" i="1" s="1"/>
  <c r="AO134" i="1"/>
  <c r="DB134" i="1" s="1"/>
  <c r="DC134" i="1" s="1"/>
  <c r="AO216" i="1"/>
  <c r="CD248" i="1"/>
  <c r="CD245" i="1"/>
  <c r="CD239" i="1"/>
  <c r="CD267" i="1"/>
  <c r="AJ216" i="1"/>
  <c r="AK215" i="1"/>
  <c r="AJ197" i="1"/>
  <c r="AK197" i="1" s="1"/>
  <c r="AK196" i="1"/>
  <c r="CQ40" i="1"/>
  <c r="N40" i="1" s="1"/>
  <c r="CD222" i="1"/>
  <c r="CD220" i="1"/>
  <c r="CD218" i="1"/>
  <c r="AJ183" i="1"/>
  <c r="AK182" i="1"/>
  <c r="AO49" i="1"/>
  <c r="CD247" i="1"/>
  <c r="CD221" i="1"/>
  <c r="BF245" i="1"/>
  <c r="BI245" i="1" s="1"/>
  <c r="BI244" i="1"/>
  <c r="CD270" i="1"/>
  <c r="CD226" i="1"/>
  <c r="CD216" i="1"/>
  <c r="CQ227" i="1"/>
  <c r="N227" i="1" s="1"/>
  <c r="BI207" i="1"/>
  <c r="BF208" i="1"/>
  <c r="BI208" i="1" s="1"/>
  <c r="CD161" i="1"/>
  <c r="BI171" i="1"/>
  <c r="BF172" i="1"/>
  <c r="BI172" i="1" s="1"/>
  <c r="CD170" i="1"/>
  <c r="AJ167" i="1"/>
  <c r="AK166" i="1"/>
  <c r="BF214" i="1"/>
  <c r="BF195" i="1"/>
  <c r="BI174" i="1"/>
  <c r="U172" i="1"/>
  <c r="BF149" i="1"/>
  <c r="BI148" i="1"/>
  <c r="CD45" i="1"/>
  <c r="CD134" i="1"/>
  <c r="CD132" i="1"/>
  <c r="BI267" i="1"/>
  <c r="AK214" i="1"/>
  <c r="BI210" i="1"/>
  <c r="AJ207" i="1"/>
  <c r="AK195" i="1"/>
  <c r="BI187" i="1"/>
  <c r="CD149" i="1"/>
  <c r="BI44" i="1"/>
  <c r="BF45" i="1"/>
  <c r="CD144" i="1"/>
  <c r="CN144" i="1" s="1"/>
  <c r="BI133" i="1"/>
  <c r="CD157" i="1"/>
  <c r="CD42" i="1"/>
  <c r="CD99" i="1"/>
  <c r="CD43" i="1"/>
  <c r="CD28" i="1"/>
  <c r="CD138" i="1"/>
  <c r="CD105" i="1"/>
  <c r="CD136" i="1"/>
  <c r="CD22" i="1"/>
  <c r="CQ20" i="1"/>
  <c r="N20" i="1" s="1"/>
  <c r="AK109" i="1"/>
  <c r="AJ110" i="1"/>
  <c r="CD106" i="1"/>
  <c r="CD25" i="1"/>
  <c r="BF221" i="1"/>
  <c r="BI206" i="1"/>
  <c r="BF182" i="1"/>
  <c r="CD38" i="1"/>
  <c r="CD111" i="1"/>
  <c r="CD26" i="1"/>
  <c r="CD100" i="1"/>
  <c r="BI170" i="1"/>
  <c r="BI39" i="1"/>
  <c r="CP133" i="1"/>
  <c r="CD129" i="1"/>
  <c r="CD121" i="1"/>
  <c r="CQ113" i="1"/>
  <c r="N113" i="1" s="1"/>
  <c r="CO113" i="1"/>
  <c r="CP113" i="1"/>
  <c r="CD44" i="1"/>
  <c r="AK38" i="1"/>
  <c r="AJ39" i="1"/>
  <c r="CD156" i="1"/>
  <c r="CD151" i="1"/>
  <c r="CO148" i="1"/>
  <c r="BI40" i="1"/>
  <c r="CD29" i="1"/>
  <c r="CD107" i="1"/>
  <c r="CD159" i="1"/>
  <c r="CD147" i="1"/>
  <c r="BI43" i="1"/>
  <c r="AK42" i="1"/>
  <c r="AJ43" i="1"/>
  <c r="CD125" i="1"/>
  <c r="CD120" i="1"/>
  <c r="K118" i="1"/>
  <c r="CI118" i="1"/>
  <c r="CF118" i="1"/>
  <c r="CD158" i="1"/>
  <c r="BI33" i="1"/>
  <c r="BF34" i="1"/>
  <c r="AK49" i="1"/>
  <c r="AJ50" i="1"/>
  <c r="CD155" i="1"/>
  <c r="CD146" i="1"/>
  <c r="AK33" i="1"/>
  <c r="AJ34" i="1"/>
  <c r="BI28" i="1"/>
  <c r="CD128" i="1"/>
  <c r="CD21" i="1"/>
  <c r="BI113" i="1"/>
  <c r="BF114" i="1"/>
  <c r="BI114" i="1" s="1"/>
  <c r="CD109" i="1"/>
  <c r="AJ64" i="1"/>
  <c r="AK64" i="1" s="1"/>
  <c r="AK63" i="1"/>
  <c r="BI17" i="1"/>
  <c r="AK113" i="1"/>
  <c r="BR13" i="1"/>
  <c r="T14" i="1"/>
  <c r="AM117" i="1"/>
  <c r="AM118" i="1" s="1"/>
  <c r="DB116" i="1"/>
  <c r="DC116" i="1" s="1"/>
  <c r="BI32" i="1"/>
  <c r="AK17" i="1"/>
  <c r="BF110" i="1"/>
  <c r="BF50" i="1"/>
  <c r="BF99" i="1"/>
  <c r="J116" i="1"/>
  <c r="I116" i="1"/>
  <c r="Q117" i="1"/>
  <c r="BO116" i="1"/>
  <c r="BI63" i="1"/>
  <c r="BF64" i="1"/>
  <c r="BI64" i="1" s="1"/>
  <c r="AM64" i="1"/>
  <c r="CD78" i="1"/>
  <c r="BI146" i="1"/>
  <c r="AK32" i="1"/>
  <c r="BI121" i="1"/>
  <c r="V54" i="1"/>
  <c r="AK98" i="1"/>
  <c r="AJ99" i="1"/>
  <c r="BF29" i="1"/>
  <c r="AK12" i="1"/>
  <c r="AJ13" i="1"/>
  <c r="CD64" i="1"/>
  <c r="CN64" i="1" s="1"/>
  <c r="AO118" i="1"/>
  <c r="CD36" i="1"/>
  <c r="CH95" i="1"/>
  <c r="CF95" i="1"/>
  <c r="J62" i="1"/>
  <c r="CQ230" i="1"/>
  <c r="N230" i="1" s="1"/>
  <c r="CD73" i="1"/>
  <c r="CN73" i="1" s="1"/>
  <c r="K64" i="1"/>
  <c r="CH89" i="1"/>
  <c r="CF89" i="1"/>
  <c r="AJ117" i="1"/>
  <c r="I62" i="1"/>
  <c r="BI116" i="1"/>
  <c r="AN63" i="1"/>
  <c r="AN64" i="1" s="1"/>
  <c r="BS62" i="1"/>
  <c r="CI230" i="1"/>
  <c r="CD88" i="1"/>
  <c r="CN88" i="1" s="1"/>
  <c r="ES69" i="1"/>
  <c r="AN71" i="1"/>
  <c r="DB70" i="1"/>
  <c r="DC70" i="1" s="1"/>
  <c r="CD229" i="1"/>
  <c r="CN229" i="1" s="1"/>
  <c r="Q63" i="1"/>
  <c r="DM70" i="1"/>
  <c r="DW70" i="1"/>
  <c r="FA70" i="1"/>
  <c r="DV70" i="1"/>
  <c r="AO82" i="1"/>
  <c r="DB81" i="1"/>
  <c r="DC81" i="1" s="1"/>
  <c r="CH74" i="1"/>
  <c r="AN89" i="1"/>
  <c r="DB89" i="1" s="1"/>
  <c r="DC89" i="1" s="1"/>
  <c r="DB88" i="1"/>
  <c r="DC88" i="1" s="1"/>
  <c r="CD89" i="1"/>
  <c r="CN89" i="1" s="1"/>
  <c r="K81" i="1"/>
  <c r="K80" i="1"/>
  <c r="K82" i="1"/>
  <c r="K83" i="1"/>
  <c r="K92" i="1"/>
  <c r="K91" i="1"/>
  <c r="CI92" i="1"/>
  <c r="CI82" i="1"/>
  <c r="CI91" i="1"/>
  <c r="CI83" i="1"/>
  <c r="CI95" i="1"/>
  <c r="K95" i="1"/>
  <c r="CI71" i="1"/>
  <c r="K71" i="1"/>
  <c r="K70" i="1"/>
  <c r="CI94" i="1"/>
  <c r="CI74" i="1"/>
  <c r="CI81" i="1"/>
  <c r="K73" i="1"/>
  <c r="K88" i="1"/>
  <c r="CI89" i="1"/>
  <c r="CI80" i="1"/>
  <c r="CI70" i="1"/>
  <c r="CI73" i="1"/>
  <c r="CI88" i="1"/>
  <c r="DR230" i="1"/>
  <c r="EY69" i="1"/>
  <c r="BA90" i="1"/>
  <c r="BA79" i="1"/>
  <c r="BA72" i="1"/>
  <c r="BA87" i="1"/>
  <c r="BA93" i="1"/>
  <c r="AJ71" i="1"/>
  <c r="AK71" i="1" s="1"/>
  <c r="CD33" i="1"/>
  <c r="BB90" i="1"/>
  <c r="BB79" i="1"/>
  <c r="BC90" i="1"/>
  <c r="BC79" i="1"/>
  <c r="BS95" i="1"/>
  <c r="BN95" i="1"/>
  <c r="BB93" i="1"/>
  <c r="CF94" i="1"/>
  <c r="AJ74" i="1"/>
  <c r="AK74" i="1" s="1"/>
  <c r="CH94" i="1"/>
  <c r="CD30" i="1"/>
  <c r="CD10" i="1"/>
  <c r="CH91" i="1"/>
  <c r="CF91" i="1"/>
  <c r="AK82" i="1"/>
  <c r="AJ83" i="1"/>
  <c r="AK83" i="1" s="1"/>
  <c r="CH71" i="1"/>
  <c r="CF83" i="1"/>
  <c r="CD92" i="1"/>
  <c r="CN92" i="1" s="1"/>
  <c r="AM82" i="1"/>
  <c r="AM83" i="1" s="1"/>
  <c r="CJ83" i="1" s="1"/>
  <c r="DA83" i="1"/>
  <c r="CD80" i="1"/>
  <c r="AK81" i="1"/>
  <c r="AM92" i="1"/>
  <c r="CH92" i="1" s="1"/>
  <c r="CF82" i="1"/>
  <c r="CF92" i="1"/>
  <c r="BD79" i="1"/>
  <c r="BF81" i="1"/>
  <c r="AJ68" i="1"/>
  <c r="AK68" i="1" s="1"/>
  <c r="T30" i="4"/>
  <c r="DT74" i="1" l="1"/>
  <c r="AJ26" i="1"/>
  <c r="AK26" i="1" s="1"/>
  <c r="BO13" i="1"/>
  <c r="CG176" i="1"/>
  <c r="M176" i="1" s="1"/>
  <c r="EI67" i="1"/>
  <c r="CP67" i="1"/>
  <c r="DW71" i="1"/>
  <c r="CQ143" i="1"/>
  <c r="N143" i="1" s="1"/>
  <c r="CN143" i="1"/>
  <c r="CQ98" i="1"/>
  <c r="N98" i="1" s="1"/>
  <c r="CP114" i="1"/>
  <c r="CP12" i="1"/>
  <c r="CP181" i="1"/>
  <c r="CQ32" i="1"/>
  <c r="N32" i="1" s="1"/>
  <c r="CN32" i="1"/>
  <c r="CQ59" i="1"/>
  <c r="N59" i="1" s="1"/>
  <c r="CN59" i="1"/>
  <c r="FR85" i="1"/>
  <c r="CN85" i="1"/>
  <c r="CO197" i="1"/>
  <c r="CP175" i="1"/>
  <c r="CQ126" i="1"/>
  <c r="N126" i="1" s="1"/>
  <c r="CN126" i="1"/>
  <c r="CO206" i="1"/>
  <c r="CQ257" i="1"/>
  <c r="N257" i="1" s="1"/>
  <c r="CO122" i="1"/>
  <c r="FR174" i="1"/>
  <c r="CO259" i="1"/>
  <c r="EP58" i="1"/>
  <c r="CO24" i="1"/>
  <c r="CO244" i="1"/>
  <c r="CQ190" i="1"/>
  <c r="N190" i="1" s="1"/>
  <c r="CO130" i="1"/>
  <c r="CQ182" i="1"/>
  <c r="N182" i="1" s="1"/>
  <c r="CQ254" i="1"/>
  <c r="N254" i="1" s="1"/>
  <c r="CO20" i="1"/>
  <c r="CN20" i="1"/>
  <c r="CM255" i="1"/>
  <c r="CL255" i="1" s="1"/>
  <c r="H255" i="1" s="1"/>
  <c r="CN255" i="1"/>
  <c r="CQ207" i="1"/>
  <c r="N207" i="1" s="1"/>
  <c r="CN207" i="1"/>
  <c r="CQ217" i="1"/>
  <c r="N217" i="1" s="1"/>
  <c r="CO208" i="1"/>
  <c r="ED46" i="1"/>
  <c r="ED61" i="1" s="1"/>
  <c r="CO67" i="1"/>
  <c r="CN67" i="1"/>
  <c r="EC70" i="1"/>
  <c r="CQ185" i="1"/>
  <c r="N185" i="1" s="1"/>
  <c r="FF67" i="1"/>
  <c r="CP195" i="1"/>
  <c r="FR48" i="1"/>
  <c r="CQ191" i="1"/>
  <c r="N191" i="1" s="1"/>
  <c r="CN191" i="1"/>
  <c r="CQ60" i="1"/>
  <c r="N60" i="1" s="1"/>
  <c r="CN60" i="1"/>
  <c r="DM67" i="1"/>
  <c r="DJ67" i="1"/>
  <c r="CO179" i="1"/>
  <c r="CQ271" i="1"/>
  <c r="N271" i="1" s="1"/>
  <c r="CP102" i="1"/>
  <c r="CP152" i="1"/>
  <c r="EV68" i="1"/>
  <c r="EV251" i="1" s="1"/>
  <c r="EP67" i="1"/>
  <c r="EH67" i="1"/>
  <c r="DL67" i="1"/>
  <c r="CQ184" i="1"/>
  <c r="N184" i="1" s="1"/>
  <c r="CP140" i="1"/>
  <c r="CO104" i="1"/>
  <c r="CP142" i="1"/>
  <c r="CO211" i="1"/>
  <c r="DA133" i="1"/>
  <c r="FR76" i="1"/>
  <c r="DA67" i="1"/>
  <c r="EU67" i="1"/>
  <c r="FR67" i="1"/>
  <c r="CN227" i="1"/>
  <c r="CQ187" i="1"/>
  <c r="N187" i="1" s="1"/>
  <c r="CP39" i="1"/>
  <c r="CP35" i="1"/>
  <c r="CQ178" i="1"/>
  <c r="N178" i="1" s="1"/>
  <c r="FR40" i="1"/>
  <c r="CN40" i="1"/>
  <c r="CO34" i="1"/>
  <c r="DW67" i="1"/>
  <c r="FI67" i="1"/>
  <c r="DK265" i="1"/>
  <c r="CO225" i="1"/>
  <c r="CQ150" i="1"/>
  <c r="N150" i="1" s="1"/>
  <c r="CO177" i="1"/>
  <c r="FR148" i="1"/>
  <c r="CN194" i="1"/>
  <c r="FR81" i="1"/>
  <c r="CQ83" i="1"/>
  <c r="N83" i="1" s="1"/>
  <c r="CN83" i="1"/>
  <c r="FR224" i="1"/>
  <c r="CP176" i="1"/>
  <c r="CP110" i="1"/>
  <c r="CO258" i="1"/>
  <c r="CP183" i="1"/>
  <c r="CN113" i="1"/>
  <c r="CP124" i="1"/>
  <c r="CP261" i="1"/>
  <c r="CP189" i="1"/>
  <c r="FM67" i="1"/>
  <c r="CO188" i="1"/>
  <c r="FR137" i="1"/>
  <c r="CO139" i="1"/>
  <c r="CQ57" i="1"/>
  <c r="N57" i="1" s="1"/>
  <c r="CN57" i="1"/>
  <c r="CH165" i="1"/>
  <c r="CR165" i="1" s="1"/>
  <c r="DP91" i="1"/>
  <c r="CO32" i="1"/>
  <c r="CP179" i="1"/>
  <c r="CO59" i="1"/>
  <c r="BT171" i="1"/>
  <c r="CD171" i="1" s="1"/>
  <c r="I171" i="1"/>
  <c r="CO48" i="1"/>
  <c r="FG71" i="1"/>
  <c r="AJ106" i="1"/>
  <c r="FR230" i="1"/>
  <c r="BI21" i="1"/>
  <c r="CO110" i="1"/>
  <c r="CO176" i="1"/>
  <c r="FR258" i="1"/>
  <c r="FG68" i="1"/>
  <c r="FG251" i="1" s="1"/>
  <c r="CO68" i="1"/>
  <c r="FR133" i="1"/>
  <c r="CG70" i="1"/>
  <c r="M70" i="1" s="1"/>
  <c r="CI16" i="1"/>
  <c r="K16" i="1"/>
  <c r="DK70" i="1"/>
  <c r="EH70" i="1"/>
  <c r="DL70" i="1"/>
  <c r="EI70" i="1"/>
  <c r="EU70" i="1"/>
  <c r="FJ230" i="1"/>
  <c r="EN70" i="1"/>
  <c r="FH70" i="1"/>
  <c r="ET70" i="1"/>
  <c r="DH70" i="1"/>
  <c r="EK230" i="1"/>
  <c r="EQ230" i="1"/>
  <c r="DO230" i="1"/>
  <c r="EW230" i="1"/>
  <c r="BF130" i="1"/>
  <c r="BI130" i="1" s="1"/>
  <c r="CO102" i="1"/>
  <c r="CQ258" i="1"/>
  <c r="N258" i="1" s="1"/>
  <c r="DW68" i="1"/>
  <c r="DW251" i="1" s="1"/>
  <c r="DI68" i="1"/>
  <c r="DI251" i="1" s="1"/>
  <c r="CH16" i="1"/>
  <c r="CR16" i="1" s="1"/>
  <c r="DA58" i="1"/>
  <c r="CP70" i="1"/>
  <c r="FR70" i="1"/>
  <c r="EB70" i="1"/>
  <c r="FM70" i="1"/>
  <c r="DP230" i="1"/>
  <c r="DE230" i="1"/>
  <c r="AK21" i="1"/>
  <c r="CD116" i="1"/>
  <c r="CP174" i="1"/>
  <c r="CQ102" i="1"/>
  <c r="N102" i="1" s="1"/>
  <c r="CQ152" i="1"/>
  <c r="N152" i="1" s="1"/>
  <c r="CP224" i="1"/>
  <c r="FM68" i="1"/>
  <c r="EJ68" i="1"/>
  <c r="EJ251" i="1" s="1"/>
  <c r="FR110" i="1"/>
  <c r="FA58" i="1"/>
  <c r="DA85" i="1"/>
  <c r="CO85" i="1"/>
  <c r="BI166" i="1"/>
  <c r="EQ74" i="1"/>
  <c r="DX70" i="1"/>
  <c r="DI70" i="1"/>
  <c r="EV70" i="1"/>
  <c r="ED70" i="1"/>
  <c r="EO70" i="1"/>
  <c r="EM70" i="1" s="1"/>
  <c r="DJ70" i="1"/>
  <c r="FI70" i="1"/>
  <c r="DA70" i="1"/>
  <c r="FG70" i="1"/>
  <c r="ET71" i="1"/>
  <c r="CP148" i="1"/>
  <c r="CO12" i="1"/>
  <c r="CQ142" i="1"/>
  <c r="N142" i="1" s="1"/>
  <c r="CP32" i="1"/>
  <c r="BI167" i="1"/>
  <c r="CQ177" i="1"/>
  <c r="N177" i="1" s="1"/>
  <c r="CP182" i="1"/>
  <c r="CO191" i="1"/>
  <c r="DI58" i="1"/>
  <c r="CQ76" i="1"/>
  <c r="N76" i="1" s="1"/>
  <c r="EJ70" i="1"/>
  <c r="FN70" i="1"/>
  <c r="CQ70" i="1"/>
  <c r="N70" i="1" s="1"/>
  <c r="CO70" i="1"/>
  <c r="FF70" i="1"/>
  <c r="FO70" i="1"/>
  <c r="FB70" i="1"/>
  <c r="EP70" i="1"/>
  <c r="EC71" i="1"/>
  <c r="CQ114" i="1"/>
  <c r="N114" i="1" s="1"/>
  <c r="DL58" i="1"/>
  <c r="CJ86" i="1"/>
  <c r="L85" i="1"/>
  <c r="L86" i="1"/>
  <c r="CJ85" i="1"/>
  <c r="CP74" i="1"/>
  <c r="DP74" i="1"/>
  <c r="CO142" i="1"/>
  <c r="CO76" i="1"/>
  <c r="CG76" i="1"/>
  <c r="M76" i="1" s="1"/>
  <c r="FF71" i="1"/>
  <c r="EU46" i="1"/>
  <c r="CP83" i="1"/>
  <c r="CG71" i="1"/>
  <c r="M71" i="1" s="1"/>
  <c r="FH46" i="1"/>
  <c r="FH61" i="1" s="1"/>
  <c r="CO114" i="1"/>
  <c r="CP137" i="1"/>
  <c r="CO133" i="1"/>
  <c r="CO39" i="1"/>
  <c r="CO189" i="1"/>
  <c r="CQ174" i="1"/>
  <c r="N174" i="1" s="1"/>
  <c r="CP187" i="1"/>
  <c r="CQ176" i="1"/>
  <c r="N176" i="1" s="1"/>
  <c r="FR187" i="1"/>
  <c r="CQ259" i="1"/>
  <c r="N259" i="1" s="1"/>
  <c r="CG182" i="1"/>
  <c r="M182" i="1" s="1"/>
  <c r="FH58" i="1"/>
  <c r="DA76" i="1"/>
  <c r="CP76" i="1"/>
  <c r="DO83" i="1"/>
  <c r="DZ83" i="1"/>
  <c r="EP71" i="1"/>
  <c r="CO118" i="1"/>
  <c r="CO137" i="1"/>
  <c r="CQ133" i="1"/>
  <c r="N133" i="1" s="1"/>
  <c r="CQ39" i="1"/>
  <c r="N39" i="1" s="1"/>
  <c r="CO187" i="1"/>
  <c r="CO175" i="1"/>
  <c r="CO195" i="1"/>
  <c r="CO58" i="1"/>
  <c r="EN58" i="1"/>
  <c r="CO81" i="1"/>
  <c r="CO174" i="1"/>
  <c r="AJ130" i="1"/>
  <c r="AK130" i="1" s="1"/>
  <c r="CG261" i="1"/>
  <c r="M261" i="1" s="1"/>
  <c r="BS166" i="1"/>
  <c r="AK59" i="1"/>
  <c r="FN58" i="1"/>
  <c r="DA59" i="1"/>
  <c r="CG58" i="1"/>
  <c r="M58" i="1" s="1"/>
  <c r="CO98" i="1"/>
  <c r="CO224" i="1"/>
  <c r="FR59" i="1"/>
  <c r="EH58" i="1"/>
  <c r="CG59" i="1"/>
  <c r="M59" i="1" s="1"/>
  <c r="CO57" i="1"/>
  <c r="CP57" i="1"/>
  <c r="FR57" i="1"/>
  <c r="DA81" i="1"/>
  <c r="FH68" i="1"/>
  <c r="FH251" i="1" s="1"/>
  <c r="EH68" i="1"/>
  <c r="EH251" i="1" s="1"/>
  <c r="ET68" i="1"/>
  <c r="FR60" i="1"/>
  <c r="EU58" i="1"/>
  <c r="CP58" i="1"/>
  <c r="EC58" i="1"/>
  <c r="FN68" i="1"/>
  <c r="FN251" i="1" s="1"/>
  <c r="FI68" i="1"/>
  <c r="FI251" i="1" s="1"/>
  <c r="CD94" i="1"/>
  <c r="DB269" i="1"/>
  <c r="FG58" i="1"/>
  <c r="DX58" i="1"/>
  <c r="FR58" i="1"/>
  <c r="L76" i="1"/>
  <c r="CJ76" i="1"/>
  <c r="CQ12" i="1"/>
  <c r="N12" i="1" s="1"/>
  <c r="CP257" i="1"/>
  <c r="CG68" i="1"/>
  <c r="M68" i="1" s="1"/>
  <c r="DH68" i="1"/>
  <c r="DH251" i="1" s="1"/>
  <c r="ED68" i="1"/>
  <c r="ED251" i="1" s="1"/>
  <c r="EI58" i="1"/>
  <c r="FM58" i="1"/>
  <c r="FL58" i="1" s="1"/>
  <c r="CP178" i="1"/>
  <c r="CQ244" i="1"/>
  <c r="N244" i="1" s="1"/>
  <c r="CO257" i="1"/>
  <c r="DK68" i="1"/>
  <c r="DK251" i="1" s="1"/>
  <c r="EI68" i="1"/>
  <c r="EI251" i="1" s="1"/>
  <c r="EU68" i="1"/>
  <c r="EU251" i="1" s="1"/>
  <c r="FI58" i="1"/>
  <c r="CQ58" i="1"/>
  <c r="N58" i="1" s="1"/>
  <c r="CP244" i="1"/>
  <c r="DV68" i="1"/>
  <c r="DV251" i="1" s="1"/>
  <c r="EZ68" i="1"/>
  <c r="EJ58" i="1"/>
  <c r="EO58" i="1"/>
  <c r="EM58" i="1" s="1"/>
  <c r="DL68" i="1"/>
  <c r="DL251" i="1" s="1"/>
  <c r="FO68" i="1"/>
  <c r="FO251" i="1" s="1"/>
  <c r="DH58" i="1"/>
  <c r="FB58" i="1"/>
  <c r="CP211" i="1"/>
  <c r="CQ224" i="1"/>
  <c r="N224" i="1" s="1"/>
  <c r="CQ68" i="1"/>
  <c r="N68" i="1" s="1"/>
  <c r="FA68" i="1"/>
  <c r="FA251" i="1" s="1"/>
  <c r="CO265" i="1"/>
  <c r="ET58" i="1"/>
  <c r="DW58" i="1"/>
  <c r="FO58" i="1"/>
  <c r="CG81" i="1"/>
  <c r="M81" i="1" s="1"/>
  <c r="CP24" i="1"/>
  <c r="DX68" i="1"/>
  <c r="DX251" i="1" s="1"/>
  <c r="EC68" i="1"/>
  <c r="EC251" i="1" s="1"/>
  <c r="FB68" i="1"/>
  <c r="FB251" i="1" s="1"/>
  <c r="CO60" i="1"/>
  <c r="FF58" i="1"/>
  <c r="EZ58" i="1"/>
  <c r="EY58" i="1" s="1"/>
  <c r="DM58" i="1"/>
  <c r="CG60" i="1"/>
  <c r="M60" i="1" s="1"/>
  <c r="DA60" i="1"/>
  <c r="CP60" i="1"/>
  <c r="ED58" i="1"/>
  <c r="DV58" i="1"/>
  <c r="DK58" i="1"/>
  <c r="EB58" i="1"/>
  <c r="EV58" i="1"/>
  <c r="DJ58" i="1"/>
  <c r="FN46" i="1"/>
  <c r="FN61" i="1" s="1"/>
  <c r="DK46" i="1"/>
  <c r="DK61" i="1" s="1"/>
  <c r="CI49" i="1"/>
  <c r="FG46" i="1"/>
  <c r="EC46" i="1"/>
  <c r="EC61" i="1" s="1"/>
  <c r="CP271" i="1"/>
  <c r="EJ46" i="1"/>
  <c r="L58" i="1"/>
  <c r="CJ58" i="1"/>
  <c r="FO46" i="1"/>
  <c r="CQ208" i="1"/>
  <c r="N208" i="1" s="1"/>
  <c r="CP217" i="1"/>
  <c r="DL46" i="1"/>
  <c r="DL61" i="1" s="1"/>
  <c r="CO217" i="1"/>
  <c r="EV46" i="1"/>
  <c r="CO40" i="1"/>
  <c r="AJ138" i="1"/>
  <c r="AK138" i="1" s="1"/>
  <c r="CH45" i="1"/>
  <c r="CF45" i="1"/>
  <c r="EI46" i="1"/>
  <c r="EI61" i="1" s="1"/>
  <c r="K182" i="1"/>
  <c r="BF126" i="1"/>
  <c r="BI126" i="1" s="1"/>
  <c r="FI46" i="1"/>
  <c r="DO74" i="1"/>
  <c r="DA230" i="1"/>
  <c r="DZ230" i="1"/>
  <c r="EP46" i="1"/>
  <c r="FA46" i="1"/>
  <c r="FA145" i="1" s="1"/>
  <c r="CP48" i="1"/>
  <c r="CP98" i="1"/>
  <c r="AJ227" i="1"/>
  <c r="AK227" i="1" s="1"/>
  <c r="DM254" i="1"/>
  <c r="DM255" i="1" s="1"/>
  <c r="EJ67" i="1"/>
  <c r="DI67" i="1"/>
  <c r="T167" i="1"/>
  <c r="CG82" i="1"/>
  <c r="M82" i="1" s="1"/>
  <c r="CQ81" i="1"/>
  <c r="N81" i="1" s="1"/>
  <c r="FJ74" i="1"/>
  <c r="CG230" i="1"/>
  <c r="M230" i="1" s="1"/>
  <c r="CP230" i="1"/>
  <c r="DI46" i="1"/>
  <c r="CQ137" i="1"/>
  <c r="N137" i="1" s="1"/>
  <c r="CQ175" i="1"/>
  <c r="N175" i="1" s="1"/>
  <c r="CP208" i="1"/>
  <c r="DX67" i="1"/>
  <c r="ED67" i="1"/>
  <c r="CP258" i="1"/>
  <c r="CI12" i="1"/>
  <c r="CP59" i="1"/>
  <c r="DA74" i="1"/>
  <c r="DX46" i="1"/>
  <c r="CQ148" i="1"/>
  <c r="N148" i="1" s="1"/>
  <c r="CP197" i="1"/>
  <c r="CP40" i="1"/>
  <c r="EN67" i="1"/>
  <c r="EM67" i="1" s="1"/>
  <c r="FG67" i="1"/>
  <c r="CP265" i="1"/>
  <c r="CO46" i="1"/>
  <c r="EN265" i="1"/>
  <c r="DT230" i="1"/>
  <c r="DM46" i="1"/>
  <c r="CQ48" i="1"/>
  <c r="CN48" i="1" s="1"/>
  <c r="CQ195" i="1"/>
  <c r="N195" i="1" s="1"/>
  <c r="EV67" i="1"/>
  <c r="CG262" i="1"/>
  <c r="M262" i="1" s="1"/>
  <c r="AJ148" i="1"/>
  <c r="AJ149" i="1" s="1"/>
  <c r="AJ150" i="1" s="1"/>
  <c r="AJ151" i="1" s="1"/>
  <c r="CG57" i="1"/>
  <c r="M57" i="1" s="1"/>
  <c r="CJ68" i="1"/>
  <c r="CD165" i="1"/>
  <c r="DM265" i="1"/>
  <c r="DM133" i="1"/>
  <c r="FO265" i="1"/>
  <c r="DA57" i="1"/>
  <c r="L89" i="1"/>
  <c r="CJ64" i="1"/>
  <c r="DZ118" i="1"/>
  <c r="CO178" i="1"/>
  <c r="CQ183" i="1"/>
  <c r="N183" i="1" s="1"/>
  <c r="CQ225" i="1"/>
  <c r="N225" i="1" s="1"/>
  <c r="FA265" i="1"/>
  <c r="CJ89" i="1"/>
  <c r="L95" i="1"/>
  <c r="DA118" i="1"/>
  <c r="DE118" i="1"/>
  <c r="CP254" i="1"/>
  <c r="CP225" i="1"/>
  <c r="CG265" i="1"/>
  <c r="M265" i="1" s="1"/>
  <c r="DJ265" i="1"/>
  <c r="L182" i="1"/>
  <c r="L71" i="1"/>
  <c r="L74" i="1"/>
  <c r="CJ95" i="1"/>
  <c r="DP118" i="1"/>
  <c r="FJ118" i="1"/>
  <c r="DR118" i="1"/>
  <c r="CJ252" i="1"/>
  <c r="EB265" i="1"/>
  <c r="CJ74" i="1"/>
  <c r="FR118" i="1"/>
  <c r="EP265" i="1"/>
  <c r="FR254" i="1"/>
  <c r="DT118" i="1"/>
  <c r="CP177" i="1"/>
  <c r="FM265" i="1"/>
  <c r="L20" i="1"/>
  <c r="L94" i="1"/>
  <c r="DO118" i="1"/>
  <c r="CM118" i="1"/>
  <c r="CL118" i="1" s="1"/>
  <c r="H118" i="1" s="1"/>
  <c r="EK118" i="1"/>
  <c r="FI265" i="1"/>
  <c r="CQ265" i="1"/>
  <c r="N265" i="1" s="1"/>
  <c r="BI59" i="1"/>
  <c r="BF60" i="1"/>
  <c r="BI60" i="1" s="1"/>
  <c r="CP118" i="1"/>
  <c r="BS50" i="1"/>
  <c r="L264" i="1"/>
  <c r="L60" i="1"/>
  <c r="L59" i="1"/>
  <c r="CJ60" i="1"/>
  <c r="CJ59" i="1"/>
  <c r="L57" i="1"/>
  <c r="CJ57" i="1"/>
  <c r="L80" i="1"/>
  <c r="EQ118" i="1"/>
  <c r="FC118" i="1"/>
  <c r="CJ118" i="1"/>
  <c r="AK149" i="1"/>
  <c r="CJ248" i="1"/>
  <c r="DV265" i="1"/>
  <c r="ED265" i="1"/>
  <c r="L88" i="1"/>
  <c r="EE118" i="1"/>
  <c r="BR50" i="1"/>
  <c r="CJ81" i="1"/>
  <c r="CJ91" i="1"/>
  <c r="CQ118" i="1"/>
  <c r="N118" i="1" s="1"/>
  <c r="CG118" i="1"/>
  <c r="M118" i="1" s="1"/>
  <c r="DI265" i="1"/>
  <c r="ET265" i="1"/>
  <c r="CJ94" i="1"/>
  <c r="L91" i="1"/>
  <c r="CJ80" i="1"/>
  <c r="AK148" i="1"/>
  <c r="EW118" i="1"/>
  <c r="DX265" i="1"/>
  <c r="FF265" i="1"/>
  <c r="DM68" i="1"/>
  <c r="DM251" i="1" s="1"/>
  <c r="CJ182" i="1"/>
  <c r="CJ78" i="1"/>
  <c r="CJ73" i="1"/>
  <c r="CP91" i="1"/>
  <c r="DA91" i="1"/>
  <c r="DR91" i="1"/>
  <c r="DZ91" i="1"/>
  <c r="FC91" i="1"/>
  <c r="CQ188" i="1"/>
  <c r="N188" i="1" s="1"/>
  <c r="FR68" i="1"/>
  <c r="CP188" i="1"/>
  <c r="CQ91" i="1"/>
  <c r="N91" i="1" s="1"/>
  <c r="CP122" i="1"/>
  <c r="CJ229" i="1"/>
  <c r="CD49" i="1"/>
  <c r="AJ126" i="1"/>
  <c r="AK126" i="1" s="1"/>
  <c r="EK91" i="1"/>
  <c r="DT91" i="1"/>
  <c r="FR91" i="1"/>
  <c r="FJ91" i="1"/>
  <c r="CD62" i="1"/>
  <c r="CG91" i="1"/>
  <c r="M91" i="1" s="1"/>
  <c r="EW91" i="1"/>
  <c r="CM91" i="1"/>
  <c r="CL91" i="1" s="1"/>
  <c r="H91" i="1" s="1"/>
  <c r="DE91" i="1"/>
  <c r="L81" i="1"/>
  <c r="EQ91" i="1"/>
  <c r="DO91" i="1"/>
  <c r="L68" i="1"/>
  <c r="EE91" i="1"/>
  <c r="CO91" i="1"/>
  <c r="DA68" i="1"/>
  <c r="CG255" i="1"/>
  <c r="M255" i="1" s="1"/>
  <c r="CJ230" i="1"/>
  <c r="L73" i="1"/>
  <c r="CD16" i="1"/>
  <c r="CO165" i="1"/>
  <c r="FR240" i="1"/>
  <c r="EZ71" i="1"/>
  <c r="CM83" i="1"/>
  <c r="CL83" i="1" s="1"/>
  <c r="H83" i="1" s="1"/>
  <c r="CG196" i="1"/>
  <c r="M196" i="1" s="1"/>
  <c r="DR74" i="1"/>
  <c r="EE74" i="1"/>
  <c r="EJ71" i="1"/>
  <c r="DJ71" i="1"/>
  <c r="CP126" i="1"/>
  <c r="CQ196" i="1"/>
  <c r="N196" i="1" s="1"/>
  <c r="CG177" i="1"/>
  <c r="M177" i="1" s="1"/>
  <c r="CO207" i="1"/>
  <c r="CO264" i="1"/>
  <c r="EZ70" i="1"/>
  <c r="EY70" i="1" s="1"/>
  <c r="CQ181" i="1"/>
  <c r="N181" i="1" s="1"/>
  <c r="CM74" i="1"/>
  <c r="CL74" i="1" s="1"/>
  <c r="H74" i="1" s="1"/>
  <c r="DI71" i="1"/>
  <c r="CO126" i="1"/>
  <c r="CP196" i="1"/>
  <c r="CG165" i="1"/>
  <c r="M165" i="1" s="1"/>
  <c r="CP206" i="1"/>
  <c r="CQ211" i="1"/>
  <c r="N211" i="1" s="1"/>
  <c r="EN71" i="1"/>
  <c r="DP83" i="1"/>
  <c r="CP130" i="1"/>
  <c r="FR71" i="1"/>
  <c r="DV71" i="1"/>
  <c r="FO71" i="1"/>
  <c r="CO196" i="1"/>
  <c r="CO101" i="1"/>
  <c r="CO192" i="1"/>
  <c r="CQ269" i="1"/>
  <c r="N269" i="1" s="1"/>
  <c r="CO215" i="1"/>
  <c r="CG257" i="1"/>
  <c r="M257" i="1" s="1"/>
  <c r="CQ262" i="1"/>
  <c r="N262" i="1" s="1"/>
  <c r="EW74" i="1"/>
  <c r="DT83" i="1"/>
  <c r="FC74" i="1"/>
  <c r="CP71" i="1"/>
  <c r="FI71" i="1"/>
  <c r="CP190" i="1"/>
  <c r="CQ210" i="1"/>
  <c r="N210" i="1" s="1"/>
  <c r="CQ197" i="1"/>
  <c r="N197" i="1" s="1"/>
  <c r="FR210" i="1"/>
  <c r="CG34" i="1"/>
  <c r="M34" i="1" s="1"/>
  <c r="CO152" i="1"/>
  <c r="CG126" i="1"/>
  <c r="M126" i="1" s="1"/>
  <c r="FR83" i="1"/>
  <c r="EW83" i="1"/>
  <c r="CG74" i="1"/>
  <c r="M74" i="1" s="1"/>
  <c r="FR74" i="1"/>
  <c r="EH71" i="1"/>
  <c r="DH71" i="1"/>
  <c r="AK133" i="1"/>
  <c r="CO190" i="1"/>
  <c r="CP210" i="1"/>
  <c r="AK268" i="1"/>
  <c r="CG122" i="1"/>
  <c r="M122" i="1" s="1"/>
  <c r="CH22" i="1"/>
  <c r="DB270" i="1"/>
  <c r="FC83" i="1"/>
  <c r="EQ83" i="1"/>
  <c r="DE83" i="1"/>
  <c r="CO74" i="1"/>
  <c r="FJ83" i="1"/>
  <c r="CG83" i="1"/>
  <c r="M83" i="1" s="1"/>
  <c r="CQ74" i="1"/>
  <c r="N74" i="1" s="1"/>
  <c r="EV71" i="1"/>
  <c r="FB71" i="1"/>
  <c r="CP240" i="1"/>
  <c r="CO210" i="1"/>
  <c r="CG20" i="1"/>
  <c r="M20" i="1" s="1"/>
  <c r="AJ270" i="1"/>
  <c r="AK270" i="1" s="1"/>
  <c r="CP104" i="1"/>
  <c r="FB46" i="1"/>
  <c r="FB61" i="1" s="1"/>
  <c r="FR261" i="1"/>
  <c r="DB271" i="1"/>
  <c r="AK143" i="1"/>
  <c r="AJ144" i="1"/>
  <c r="AK144" i="1" s="1"/>
  <c r="CG190" i="1"/>
  <c r="M190" i="1" s="1"/>
  <c r="EB71" i="1"/>
  <c r="EE83" i="1"/>
  <c r="DR83" i="1"/>
  <c r="EK74" i="1"/>
  <c r="EK83" i="1"/>
  <c r="DE74" i="1"/>
  <c r="DL71" i="1"/>
  <c r="FM71" i="1"/>
  <c r="CO240" i="1"/>
  <c r="EO265" i="1"/>
  <c r="EV265" i="1"/>
  <c r="CO185" i="1"/>
  <c r="CG139" i="1"/>
  <c r="M139" i="1" s="1"/>
  <c r="CO124" i="1"/>
  <c r="CO83" i="1"/>
  <c r="DZ74" i="1"/>
  <c r="CQ71" i="1"/>
  <c r="N71" i="1" s="1"/>
  <c r="DM71" i="1"/>
  <c r="CP34" i="1"/>
  <c r="CP139" i="1"/>
  <c r="CQ240" i="1"/>
  <c r="N240" i="1" s="1"/>
  <c r="FB265" i="1"/>
  <c r="FH265" i="1"/>
  <c r="CG233" i="1"/>
  <c r="M233" i="1" s="1"/>
  <c r="CO184" i="1"/>
  <c r="CO140" i="1"/>
  <c r="FR255" i="1"/>
  <c r="CQ35" i="1"/>
  <c r="N35" i="1" s="1"/>
  <c r="CG142" i="1"/>
  <c r="M142" i="1" s="1"/>
  <c r="AP101" i="1"/>
  <c r="EB101" i="1" s="1"/>
  <c r="K100" i="1"/>
  <c r="EI265" i="1"/>
  <c r="FR227" i="1"/>
  <c r="CG39" i="1"/>
  <c r="M39" i="1" s="1"/>
  <c r="CG143" i="1"/>
  <c r="M143" i="1" s="1"/>
  <c r="CG178" i="1"/>
  <c r="M178" i="1" s="1"/>
  <c r="CO183" i="1"/>
  <c r="CQ34" i="1"/>
  <c r="N34" i="1" s="1"/>
  <c r="CQ139" i="1"/>
  <c r="N139" i="1" s="1"/>
  <c r="CP213" i="1"/>
  <c r="CG188" i="1"/>
  <c r="M188" i="1" s="1"/>
  <c r="DA265" i="1"/>
  <c r="FR98" i="1"/>
  <c r="CO194" i="1"/>
  <c r="AP36" i="1"/>
  <c r="K35" i="1"/>
  <c r="CI35" i="1"/>
  <c r="CO181" i="1"/>
  <c r="FL67" i="1"/>
  <c r="CF49" i="1"/>
  <c r="K49" i="1"/>
  <c r="DM264" i="1"/>
  <c r="AJ189" i="1"/>
  <c r="AK188" i="1"/>
  <c r="T52" i="1"/>
  <c r="BR51" i="1"/>
  <c r="BT166" i="1"/>
  <c r="CD166" i="1" s="1"/>
  <c r="BT167" i="1"/>
  <c r="AP178" i="1"/>
  <c r="CN178" i="1" s="1"/>
  <c r="CI177" i="1"/>
  <c r="K177" i="1"/>
  <c r="CQ140" i="1"/>
  <c r="CN140" i="1" s="1"/>
  <c r="CO150" i="1"/>
  <c r="CG240" i="1"/>
  <c r="M240" i="1" s="1"/>
  <c r="I166" i="1"/>
  <c r="J166" i="1"/>
  <c r="AP46" i="1"/>
  <c r="K45" i="1"/>
  <c r="CI45" i="1"/>
  <c r="CQ215" i="1"/>
  <c r="CN215" i="1" s="1"/>
  <c r="CO261" i="1"/>
  <c r="CQ264" i="1"/>
  <c r="N264" i="1" s="1"/>
  <c r="CD17" i="1"/>
  <c r="EI17" i="1" s="1"/>
  <c r="CP215" i="1"/>
  <c r="CP185" i="1"/>
  <c r="CP264" i="1"/>
  <c r="CG189" i="1"/>
  <c r="M189" i="1" s="1"/>
  <c r="CI165" i="1"/>
  <c r="K165" i="1"/>
  <c r="CF17" i="1"/>
  <c r="CH17" i="1"/>
  <c r="AP149" i="1"/>
  <c r="CI148" i="1"/>
  <c r="K148" i="1"/>
  <c r="J18" i="1"/>
  <c r="L18" i="1" s="1"/>
  <c r="I18" i="1"/>
  <c r="BR18" i="1"/>
  <c r="BS18" i="1"/>
  <c r="CI130" i="1"/>
  <c r="K130" i="1"/>
  <c r="CG227" i="1"/>
  <c r="M227" i="1" s="1"/>
  <c r="AO184" i="1"/>
  <c r="DB183" i="1"/>
  <c r="DC183" i="1" s="1"/>
  <c r="FM40" i="1"/>
  <c r="EB40" i="1"/>
  <c r="EB41" i="1" s="1"/>
  <c r="FN40" i="1"/>
  <c r="FN41" i="1" s="1"/>
  <c r="FB40" i="1"/>
  <c r="FB41" i="1" s="1"/>
  <c r="EC40" i="1"/>
  <c r="EC41" i="1" s="1"/>
  <c r="DI40" i="1"/>
  <c r="FO40" i="1"/>
  <c r="FO41" i="1" s="1"/>
  <c r="EO40" i="1"/>
  <c r="DJ40" i="1"/>
  <c r="DJ41" i="1" s="1"/>
  <c r="FF40" i="1"/>
  <c r="FF41" i="1" s="1"/>
  <c r="EP40" i="1"/>
  <c r="EP41" i="1" s="1"/>
  <c r="DK40" i="1"/>
  <c r="DK41" i="1" s="1"/>
  <c r="FG40" i="1"/>
  <c r="FG41" i="1" s="1"/>
  <c r="ET40" i="1"/>
  <c r="EU40" i="1"/>
  <c r="EU41" i="1" s="1"/>
  <c r="DV40" i="1"/>
  <c r="DV41" i="1" s="1"/>
  <c r="DM40" i="1"/>
  <c r="DM41" i="1" s="1"/>
  <c r="FI40" i="1"/>
  <c r="FI41" i="1" s="1"/>
  <c r="DW40" i="1"/>
  <c r="DW41" i="1" s="1"/>
  <c r="EZ40" i="1"/>
  <c r="EJ40" i="1"/>
  <c r="EJ41" i="1" s="1"/>
  <c r="EN40" i="1"/>
  <c r="EN41" i="1" s="1"/>
  <c r="EH40" i="1"/>
  <c r="EH41" i="1" s="1"/>
  <c r="DH40" i="1"/>
  <c r="DH41" i="1" s="1"/>
  <c r="EI40" i="1"/>
  <c r="EI41" i="1" s="1"/>
  <c r="DX40" i="1"/>
  <c r="DX41" i="1" s="1"/>
  <c r="ED40" i="1"/>
  <c r="ED41" i="1" s="1"/>
  <c r="DA40" i="1"/>
  <c r="FA40" i="1"/>
  <c r="FA41" i="1" s="1"/>
  <c r="CG40" i="1"/>
  <c r="M40" i="1" s="1"/>
  <c r="FH40" i="1"/>
  <c r="EV40" i="1"/>
  <c r="EV41" i="1" s="1"/>
  <c r="DL40" i="1"/>
  <c r="DL41" i="1" s="1"/>
  <c r="FR32" i="1"/>
  <c r="FG32" i="1"/>
  <c r="FG56" i="1" s="1"/>
  <c r="EH32" i="1"/>
  <c r="EH56" i="1" s="1"/>
  <c r="DH32" i="1"/>
  <c r="DH56" i="1" s="1"/>
  <c r="DH75" i="1" s="1"/>
  <c r="DX32" i="1"/>
  <c r="DX56" i="1" s="1"/>
  <c r="FH32" i="1"/>
  <c r="FH56" i="1" s="1"/>
  <c r="EI32" i="1"/>
  <c r="EI56" i="1" s="1"/>
  <c r="DJ32" i="1"/>
  <c r="DJ56" i="1" s="1"/>
  <c r="ET32" i="1"/>
  <c r="ET56" i="1" s="1"/>
  <c r="ET75" i="1" s="1"/>
  <c r="EJ32" i="1"/>
  <c r="EJ56" i="1" s="1"/>
  <c r="EZ32" i="1"/>
  <c r="EZ56" i="1" s="1"/>
  <c r="EZ75" i="1" s="1"/>
  <c r="DV32" i="1"/>
  <c r="DV56" i="1" s="1"/>
  <c r="FF32" i="1"/>
  <c r="FF56" i="1" s="1"/>
  <c r="FF75" i="1" s="1"/>
  <c r="EU32" i="1"/>
  <c r="EU56" i="1" s="1"/>
  <c r="DW32" i="1"/>
  <c r="DW56" i="1" s="1"/>
  <c r="FA32" i="1"/>
  <c r="FA56" i="1" s="1"/>
  <c r="EV32" i="1"/>
  <c r="EV56" i="1" s="1"/>
  <c r="EB32" i="1"/>
  <c r="EB56" i="1" s="1"/>
  <c r="DM32" i="1"/>
  <c r="DM56" i="1" s="1"/>
  <c r="EN32" i="1"/>
  <c r="EN56" i="1" s="1"/>
  <c r="FB32" i="1"/>
  <c r="FB56" i="1" s="1"/>
  <c r="EC32" i="1"/>
  <c r="EC56" i="1" s="1"/>
  <c r="CG32" i="1"/>
  <c r="M32" i="1" s="1"/>
  <c r="EO32" i="1"/>
  <c r="EO56" i="1" s="1"/>
  <c r="EP32" i="1"/>
  <c r="EP56" i="1" s="1"/>
  <c r="FM32" i="1"/>
  <c r="FM56" i="1" s="1"/>
  <c r="FM75" i="1" s="1"/>
  <c r="FI32" i="1"/>
  <c r="FI56" i="1" s="1"/>
  <c r="ED32" i="1"/>
  <c r="ED56" i="1" s="1"/>
  <c r="DA32" i="1"/>
  <c r="FN32" i="1"/>
  <c r="FN56" i="1" s="1"/>
  <c r="DK32" i="1"/>
  <c r="DK56" i="1" s="1"/>
  <c r="FO32" i="1"/>
  <c r="FO56" i="1" s="1"/>
  <c r="DI32" i="1"/>
  <c r="DI56" i="1" s="1"/>
  <c r="DL32" i="1"/>
  <c r="DL56" i="1" s="1"/>
  <c r="CI126" i="1"/>
  <c r="K126" i="1"/>
  <c r="AP184" i="1"/>
  <c r="CI183" i="1"/>
  <c r="K183" i="1"/>
  <c r="FR130" i="1"/>
  <c r="DW139" i="1"/>
  <c r="FA139" i="1"/>
  <c r="EZ139" i="1"/>
  <c r="EJ139" i="1"/>
  <c r="FH139" i="1"/>
  <c r="EB139" i="1"/>
  <c r="FG139" i="1"/>
  <c r="FN139" i="1"/>
  <c r="EN139" i="1"/>
  <c r="DL139" i="1"/>
  <c r="EO139" i="1"/>
  <c r="FF139" i="1"/>
  <c r="DI139" i="1"/>
  <c r="DX139" i="1"/>
  <c r="ET139" i="1"/>
  <c r="FI139" i="1"/>
  <c r="EU139" i="1"/>
  <c r="DV139" i="1"/>
  <c r="DK139" i="1"/>
  <c r="DH139" i="1"/>
  <c r="ED139" i="1"/>
  <c r="FB139" i="1"/>
  <c r="DJ139" i="1"/>
  <c r="EP139" i="1"/>
  <c r="EI139" i="1"/>
  <c r="EV139" i="1"/>
  <c r="FO139" i="1"/>
  <c r="FM139" i="1"/>
  <c r="EC139" i="1"/>
  <c r="EH139" i="1"/>
  <c r="FF133" i="1"/>
  <c r="EP133" i="1"/>
  <c r="FN133" i="1"/>
  <c r="EH133" i="1"/>
  <c r="FG133" i="1"/>
  <c r="EB133" i="1"/>
  <c r="FA133" i="1"/>
  <c r="EI133" i="1"/>
  <c r="FB133" i="1"/>
  <c r="EC133" i="1"/>
  <c r="FH133" i="1"/>
  <c r="EJ133" i="1"/>
  <c r="ET133" i="1"/>
  <c r="ED133" i="1"/>
  <c r="EU133" i="1"/>
  <c r="DV133" i="1"/>
  <c r="DJ133" i="1"/>
  <c r="EV133" i="1"/>
  <c r="DW133" i="1"/>
  <c r="DH133" i="1"/>
  <c r="FM133" i="1"/>
  <c r="EZ133" i="1"/>
  <c r="DX133" i="1"/>
  <c r="DI133" i="1"/>
  <c r="FO133" i="1"/>
  <c r="EN133" i="1"/>
  <c r="DL133" i="1"/>
  <c r="DK133" i="1"/>
  <c r="FI133" i="1"/>
  <c r="EO133" i="1"/>
  <c r="CD95" i="1"/>
  <c r="BI137" i="1"/>
  <c r="FR34" i="1"/>
  <c r="FM34" i="1"/>
  <c r="EN34" i="1"/>
  <c r="DK34" i="1"/>
  <c r="FF34" i="1"/>
  <c r="EO34" i="1"/>
  <c r="FO34" i="1"/>
  <c r="DW34" i="1"/>
  <c r="FI34" i="1"/>
  <c r="EJ34" i="1"/>
  <c r="ET34" i="1"/>
  <c r="DX34" i="1"/>
  <c r="DA34" i="1"/>
  <c r="EZ34" i="1"/>
  <c r="EC34" i="1"/>
  <c r="DH34" i="1"/>
  <c r="FA34" i="1"/>
  <c r="DV34" i="1"/>
  <c r="DL34" i="1"/>
  <c r="FH34" i="1"/>
  <c r="EH34" i="1"/>
  <c r="DI34" i="1"/>
  <c r="FG34" i="1"/>
  <c r="EU34" i="1"/>
  <c r="EV34" i="1"/>
  <c r="FB34" i="1"/>
  <c r="EP34" i="1"/>
  <c r="EB34" i="1"/>
  <c r="ED34" i="1"/>
  <c r="EI34" i="1"/>
  <c r="DM34" i="1"/>
  <c r="DJ34" i="1"/>
  <c r="FN34" i="1"/>
  <c r="CO82" i="1"/>
  <c r="FR269" i="1"/>
  <c r="FF113" i="1"/>
  <c r="EO113" i="1"/>
  <c r="DH113" i="1"/>
  <c r="FG113" i="1"/>
  <c r="EJ113" i="1"/>
  <c r="CG113" i="1"/>
  <c r="M113" i="1" s="1"/>
  <c r="FA113" i="1"/>
  <c r="FH113" i="1"/>
  <c r="EV113" i="1"/>
  <c r="DI113" i="1"/>
  <c r="DW113" i="1"/>
  <c r="FI113" i="1"/>
  <c r="EP113" i="1"/>
  <c r="DL113" i="1"/>
  <c r="EZ113" i="1"/>
  <c r="DV113" i="1"/>
  <c r="DA113" i="1"/>
  <c r="DJ113" i="1"/>
  <c r="DK113" i="1"/>
  <c r="FB113" i="1"/>
  <c r="DX113" i="1"/>
  <c r="ED113" i="1"/>
  <c r="EN113" i="1"/>
  <c r="ET113" i="1"/>
  <c r="EB113" i="1"/>
  <c r="FM113" i="1"/>
  <c r="EU113" i="1"/>
  <c r="EC113" i="1"/>
  <c r="EH113" i="1"/>
  <c r="FN113" i="1"/>
  <c r="EI113" i="1"/>
  <c r="DM113" i="1"/>
  <c r="FO113" i="1"/>
  <c r="AO158" i="1"/>
  <c r="FR158" i="1" s="1"/>
  <c r="DB157" i="1"/>
  <c r="DC157" i="1" s="1"/>
  <c r="CP82" i="1"/>
  <c r="CP269" i="1"/>
  <c r="AO107" i="1"/>
  <c r="DB107" i="1" s="1"/>
  <c r="DC107" i="1" s="1"/>
  <c r="DB106" i="1"/>
  <c r="DC106" i="1" s="1"/>
  <c r="CQ82" i="1"/>
  <c r="N82" i="1" s="1"/>
  <c r="CQ101" i="1"/>
  <c r="N101" i="1" s="1"/>
  <c r="CO269" i="1"/>
  <c r="CI134" i="1"/>
  <c r="K134" i="1"/>
  <c r="AP222" i="1"/>
  <c r="FR222" i="1" s="1"/>
  <c r="CI221" i="1"/>
  <c r="CP101" i="1"/>
  <c r="CQ192" i="1"/>
  <c r="N192" i="1" s="1"/>
  <c r="CG133" i="1"/>
  <c r="M133" i="1" s="1"/>
  <c r="CP192" i="1"/>
  <c r="DA82" i="1"/>
  <c r="EG70" i="1"/>
  <c r="EG67" i="1"/>
  <c r="CI227" i="1"/>
  <c r="K227" i="1"/>
  <c r="DB34" i="1"/>
  <c r="DC34" i="1" s="1"/>
  <c r="AO35" i="1"/>
  <c r="DA35" i="1" s="1"/>
  <c r="CI182" i="1"/>
  <c r="CO143" i="1"/>
  <c r="CP20" i="1"/>
  <c r="CP184" i="1"/>
  <c r="CP207" i="1"/>
  <c r="AJ271" i="1"/>
  <c r="AK271" i="1" s="1"/>
  <c r="CP194" i="1"/>
  <c r="FR20" i="1"/>
  <c r="FR183" i="1"/>
  <c r="L252" i="1"/>
  <c r="L229" i="1"/>
  <c r="FG188" i="1"/>
  <c r="FB188" i="1"/>
  <c r="EV188" i="1"/>
  <c r="DV188" i="1"/>
  <c r="EO188" i="1"/>
  <c r="DK188" i="1"/>
  <c r="EP188" i="1"/>
  <c r="ET188" i="1"/>
  <c r="FM188" i="1"/>
  <c r="EU188" i="1"/>
  <c r="FN188" i="1"/>
  <c r="EH188" i="1"/>
  <c r="FO188" i="1"/>
  <c r="EI188" i="1"/>
  <c r="FF188" i="1"/>
  <c r="EJ188" i="1"/>
  <c r="FH188" i="1"/>
  <c r="EB188" i="1"/>
  <c r="EZ188" i="1"/>
  <c r="EC188" i="1"/>
  <c r="DH188" i="1"/>
  <c r="FA188" i="1"/>
  <c r="ED188" i="1"/>
  <c r="DL188" i="1"/>
  <c r="FI188" i="1"/>
  <c r="DW188" i="1"/>
  <c r="DI188" i="1"/>
  <c r="EN188" i="1"/>
  <c r="DX188" i="1"/>
  <c r="DJ188" i="1"/>
  <c r="FI224" i="1"/>
  <c r="EI224" i="1"/>
  <c r="ET224" i="1"/>
  <c r="EJ224" i="1"/>
  <c r="EU224" i="1"/>
  <c r="EB224" i="1"/>
  <c r="CG224" i="1"/>
  <c r="M224" i="1" s="1"/>
  <c r="EV224" i="1"/>
  <c r="EC224" i="1"/>
  <c r="FO224" i="1"/>
  <c r="EN224" i="1"/>
  <c r="ED224" i="1"/>
  <c r="FH224" i="1"/>
  <c r="EO224" i="1"/>
  <c r="FM224" i="1"/>
  <c r="EP224" i="1"/>
  <c r="DH224" i="1"/>
  <c r="FF224" i="1"/>
  <c r="EZ224" i="1"/>
  <c r="DI224" i="1"/>
  <c r="FA224" i="1"/>
  <c r="DV224" i="1"/>
  <c r="DJ224" i="1"/>
  <c r="FB224" i="1"/>
  <c r="DW224" i="1"/>
  <c r="DL224" i="1"/>
  <c r="FN224" i="1"/>
  <c r="DX224" i="1"/>
  <c r="DA224" i="1"/>
  <c r="DK224" i="1"/>
  <c r="FG224" i="1"/>
  <c r="EH224" i="1"/>
  <c r="DM224" i="1"/>
  <c r="CM234" i="1"/>
  <c r="CL234" i="1" s="1"/>
  <c r="H234" i="1" s="1"/>
  <c r="FR234" i="1"/>
  <c r="CQ234" i="1"/>
  <c r="N234" i="1" s="1"/>
  <c r="DZ234" i="1"/>
  <c r="EE234" i="1"/>
  <c r="EK234" i="1"/>
  <c r="DO234" i="1"/>
  <c r="EQ234" i="1"/>
  <c r="EW234" i="1"/>
  <c r="FC234" i="1"/>
  <c r="FJ234" i="1"/>
  <c r="DE234" i="1"/>
  <c r="DA234" i="1"/>
  <c r="DT234" i="1"/>
  <c r="CO234" i="1"/>
  <c r="DR234" i="1"/>
  <c r="DP234" i="1"/>
  <c r="CP234" i="1"/>
  <c r="EZ126" i="1"/>
  <c r="DW126" i="1"/>
  <c r="DW127" i="1" s="1"/>
  <c r="FG126" i="1"/>
  <c r="FG127" i="1" s="1"/>
  <c r="FN126" i="1"/>
  <c r="FN127" i="1" s="1"/>
  <c r="DK126" i="1"/>
  <c r="EH126" i="1"/>
  <c r="DM126" i="1"/>
  <c r="DV126" i="1"/>
  <c r="DV127" i="1" s="1"/>
  <c r="FB126" i="1"/>
  <c r="FB127" i="1" s="1"/>
  <c r="EJ126" i="1"/>
  <c r="EJ127" i="1" s="1"/>
  <c r="DJ126" i="1"/>
  <c r="FI126" i="1"/>
  <c r="FI127" i="1" s="1"/>
  <c r="DL126" i="1"/>
  <c r="FA126" i="1"/>
  <c r="FA127" i="1" s="1"/>
  <c r="EP126" i="1"/>
  <c r="EP127" i="1" s="1"/>
  <c r="EI126" i="1"/>
  <c r="EI127" i="1" s="1"/>
  <c r="FO126" i="1"/>
  <c r="FO127" i="1" s="1"/>
  <c r="ED126" i="1"/>
  <c r="ED127" i="1" s="1"/>
  <c r="EO126" i="1"/>
  <c r="EO127" i="1" s="1"/>
  <c r="FM126" i="1"/>
  <c r="DI126" i="1"/>
  <c r="FF126" i="1"/>
  <c r="DH126" i="1"/>
  <c r="EV126" i="1"/>
  <c r="EV127" i="1" s="1"/>
  <c r="EC126" i="1"/>
  <c r="EC127" i="1" s="1"/>
  <c r="ET126" i="1"/>
  <c r="FH126" i="1"/>
  <c r="FH127" i="1" s="1"/>
  <c r="EN126" i="1"/>
  <c r="EB126" i="1"/>
  <c r="EB127" i="1" s="1"/>
  <c r="DX126" i="1"/>
  <c r="DX127" i="1" s="1"/>
  <c r="EU126" i="1"/>
  <c r="EU127" i="1" s="1"/>
  <c r="DA126" i="1"/>
  <c r="EU176" i="1"/>
  <c r="FI176" i="1"/>
  <c r="ED176" i="1"/>
  <c r="EP176" i="1"/>
  <c r="FN176" i="1"/>
  <c r="DX176" i="1"/>
  <c r="EN176" i="1"/>
  <c r="FB176" i="1"/>
  <c r="EB176" i="1"/>
  <c r="EC176" i="1"/>
  <c r="EZ176" i="1"/>
  <c r="FA176" i="1"/>
  <c r="EV176" i="1"/>
  <c r="EH176" i="1"/>
  <c r="EO176" i="1"/>
  <c r="FH176" i="1"/>
  <c r="EJ176" i="1"/>
  <c r="FG176" i="1"/>
  <c r="FO176" i="1"/>
  <c r="DH176" i="1"/>
  <c r="DW176" i="1"/>
  <c r="DK176" i="1"/>
  <c r="ET176" i="1"/>
  <c r="DJ176" i="1"/>
  <c r="DV176" i="1"/>
  <c r="FF176" i="1"/>
  <c r="FM176" i="1"/>
  <c r="DL176" i="1"/>
  <c r="DI176" i="1"/>
  <c r="EI176" i="1"/>
  <c r="DA142" i="1"/>
  <c r="FB142" i="1"/>
  <c r="DW142" i="1"/>
  <c r="FO142" i="1"/>
  <c r="EV142" i="1"/>
  <c r="EI142" i="1"/>
  <c r="ET142" i="1"/>
  <c r="DK142" i="1"/>
  <c r="EB142" i="1"/>
  <c r="FM142" i="1"/>
  <c r="FH142" i="1"/>
  <c r="DX142" i="1"/>
  <c r="FG142" i="1"/>
  <c r="EP142" i="1"/>
  <c r="DV142" i="1"/>
  <c r="EC142" i="1"/>
  <c r="EZ142" i="1"/>
  <c r="FF142" i="1"/>
  <c r="DI142" i="1"/>
  <c r="DL142" i="1"/>
  <c r="FI142" i="1"/>
  <c r="EU142" i="1"/>
  <c r="EJ142" i="1"/>
  <c r="EO142" i="1"/>
  <c r="ED142" i="1"/>
  <c r="DM142" i="1"/>
  <c r="FA142" i="1"/>
  <c r="FN142" i="1"/>
  <c r="DJ142" i="1"/>
  <c r="EN142" i="1"/>
  <c r="EH142" i="1"/>
  <c r="DH142" i="1"/>
  <c r="DK185" i="1"/>
  <c r="DK47" i="1" s="1"/>
  <c r="CG185" i="1"/>
  <c r="M185" i="1" s="1"/>
  <c r="EJ185" i="1"/>
  <c r="EJ186" i="1" s="1"/>
  <c r="FN185" i="1"/>
  <c r="EC185" i="1"/>
  <c r="EC186" i="1" s="1"/>
  <c r="EI185" i="1"/>
  <c r="EI186" i="1" s="1"/>
  <c r="DW185" i="1"/>
  <c r="DW186" i="1" s="1"/>
  <c r="DL185" i="1"/>
  <c r="DL47" i="1" s="1"/>
  <c r="FH185" i="1"/>
  <c r="FH186" i="1" s="1"/>
  <c r="EU185" i="1"/>
  <c r="EU186" i="1" s="1"/>
  <c r="FB185" i="1"/>
  <c r="FB186" i="1" s="1"/>
  <c r="EP185" i="1"/>
  <c r="EP186" i="1" s="1"/>
  <c r="FA185" i="1"/>
  <c r="FA186" i="1" s="1"/>
  <c r="EO185" i="1"/>
  <c r="EO186" i="1" s="1"/>
  <c r="FI185" i="1"/>
  <c r="FI186" i="1" s="1"/>
  <c r="DX185" i="1"/>
  <c r="DX186" i="1" s="1"/>
  <c r="DI185" i="1"/>
  <c r="DI47" i="1" s="1"/>
  <c r="FO185" i="1"/>
  <c r="FO186" i="1" s="1"/>
  <c r="ED185" i="1"/>
  <c r="ED186" i="1" s="1"/>
  <c r="FG185" i="1"/>
  <c r="FG186" i="1" s="1"/>
  <c r="EV185" i="1"/>
  <c r="EV186" i="1" s="1"/>
  <c r="CO254" i="1"/>
  <c r="EZ254" i="1"/>
  <c r="DL254" i="1"/>
  <c r="DL255" i="1" s="1"/>
  <c r="FI254" i="1"/>
  <c r="FI255" i="1" s="1"/>
  <c r="DX254" i="1"/>
  <c r="DX255" i="1" s="1"/>
  <c r="DK254" i="1"/>
  <c r="DK255" i="1" s="1"/>
  <c r="FH254" i="1"/>
  <c r="FH255" i="1" s="1"/>
  <c r="EJ254" i="1"/>
  <c r="EJ255" i="1" s="1"/>
  <c r="EV254" i="1"/>
  <c r="EV255" i="1" s="1"/>
  <c r="EI254" i="1"/>
  <c r="EI255" i="1" s="1"/>
  <c r="DW254" i="1"/>
  <c r="DW255" i="1" s="1"/>
  <c r="DJ254" i="1"/>
  <c r="FG254" i="1"/>
  <c r="FG255" i="1" s="1"/>
  <c r="EH254" i="1"/>
  <c r="EH255" i="1" s="1"/>
  <c r="DV254" i="1"/>
  <c r="DV255" i="1" s="1"/>
  <c r="DA254" i="1"/>
  <c r="FF254" i="1"/>
  <c r="FF255" i="1" s="1"/>
  <c r="EU254" i="1"/>
  <c r="EU255" i="1" s="1"/>
  <c r="DI254" i="1"/>
  <c r="DI255" i="1" s="1"/>
  <c r="ET254" i="1"/>
  <c r="DH254" i="1"/>
  <c r="FO254" i="1"/>
  <c r="FO255" i="1" s="1"/>
  <c r="FN254" i="1"/>
  <c r="FN255" i="1" s="1"/>
  <c r="EP254" i="1"/>
  <c r="EP255" i="1" s="1"/>
  <c r="ED254" i="1"/>
  <c r="ED255" i="1" s="1"/>
  <c r="FB254" i="1"/>
  <c r="FB255" i="1" s="1"/>
  <c r="EO254" i="1"/>
  <c r="EC254" i="1"/>
  <c r="EC255" i="1" s="1"/>
  <c r="FM254" i="1"/>
  <c r="EB254" i="1"/>
  <c r="EB255" i="1" s="1"/>
  <c r="FA254" i="1"/>
  <c r="FA255" i="1" s="1"/>
  <c r="EN254" i="1"/>
  <c r="AO100" i="1"/>
  <c r="DM100" i="1" s="1"/>
  <c r="DB99" i="1"/>
  <c r="DC99" i="1" s="1"/>
  <c r="EB68" i="1"/>
  <c r="EB251" i="1" s="1"/>
  <c r="FF68" i="1"/>
  <c r="FF251" i="1" s="1"/>
  <c r="FE251" i="1" s="1"/>
  <c r="DJ68" i="1"/>
  <c r="DJ251" i="1" s="1"/>
  <c r="EN68" i="1"/>
  <c r="EN251" i="1" s="1"/>
  <c r="CH200" i="1"/>
  <c r="AM201" i="1"/>
  <c r="CJ200" i="1"/>
  <c r="L200" i="1"/>
  <c r="FR82" i="1"/>
  <c r="FR264" i="1"/>
  <c r="BU160" i="1"/>
  <c r="CD160" i="1" s="1"/>
  <c r="I160" i="1"/>
  <c r="J160" i="1"/>
  <c r="EO46" i="1"/>
  <c r="FO192" i="1"/>
  <c r="FO193" i="1" s="1"/>
  <c r="ET192" i="1"/>
  <c r="DK192" i="1"/>
  <c r="DK193" i="1" s="1"/>
  <c r="FH192" i="1"/>
  <c r="FH193" i="1" s="1"/>
  <c r="FF192" i="1"/>
  <c r="EJ192" i="1"/>
  <c r="EJ193" i="1" s="1"/>
  <c r="DH192" i="1"/>
  <c r="FM192" i="1"/>
  <c r="EP192" i="1"/>
  <c r="EP193" i="1" s="1"/>
  <c r="DX192" i="1"/>
  <c r="DX193" i="1" s="1"/>
  <c r="DJ192" i="1"/>
  <c r="DJ193" i="1" s="1"/>
  <c r="FN192" i="1"/>
  <c r="FN193" i="1" s="1"/>
  <c r="EV192" i="1"/>
  <c r="EV193" i="1" s="1"/>
  <c r="EN192" i="1"/>
  <c r="EN193" i="1" s="1"/>
  <c r="DI192" i="1"/>
  <c r="DI193" i="1" s="1"/>
  <c r="FG192" i="1"/>
  <c r="FG193" i="1" s="1"/>
  <c r="EU192" i="1"/>
  <c r="EU193" i="1" s="1"/>
  <c r="EH192" i="1"/>
  <c r="EH193" i="1" s="1"/>
  <c r="EI192" i="1"/>
  <c r="EI193" i="1" s="1"/>
  <c r="FA192" i="1"/>
  <c r="FA193" i="1" s="1"/>
  <c r="FI192" i="1"/>
  <c r="FI193" i="1" s="1"/>
  <c r="EB192" i="1"/>
  <c r="EB193" i="1" s="1"/>
  <c r="ED192" i="1"/>
  <c r="ED193" i="1" s="1"/>
  <c r="EZ192" i="1"/>
  <c r="EC192" i="1"/>
  <c r="EC193" i="1" s="1"/>
  <c r="DV192" i="1"/>
  <c r="DV193" i="1" s="1"/>
  <c r="FB192" i="1"/>
  <c r="FB193" i="1" s="1"/>
  <c r="DW192" i="1"/>
  <c r="DW193" i="1" s="1"/>
  <c r="DL192" i="1"/>
  <c r="DL193" i="1" s="1"/>
  <c r="CG192" i="1"/>
  <c r="M192" i="1" s="1"/>
  <c r="EO192" i="1"/>
  <c r="EO193" i="1" s="1"/>
  <c r="EO269" i="1"/>
  <c r="ED269" i="1"/>
  <c r="DI269" i="1"/>
  <c r="FG269" i="1"/>
  <c r="FO269" i="1"/>
  <c r="DW269" i="1"/>
  <c r="EZ269" i="1"/>
  <c r="EH269" i="1"/>
  <c r="FF269" i="1"/>
  <c r="EJ269" i="1"/>
  <c r="DM269" i="1"/>
  <c r="EN269" i="1"/>
  <c r="EC269" i="1"/>
  <c r="DL269" i="1"/>
  <c r="FB269" i="1"/>
  <c r="ET269" i="1"/>
  <c r="EU269" i="1"/>
  <c r="EV269" i="1"/>
  <c r="DX269" i="1"/>
  <c r="DH269" i="1"/>
  <c r="CG269" i="1"/>
  <c r="M269" i="1" s="1"/>
  <c r="EI269" i="1"/>
  <c r="FH269" i="1"/>
  <c r="EB269" i="1"/>
  <c r="DA269" i="1"/>
  <c r="DJ269" i="1"/>
  <c r="FI269" i="1"/>
  <c r="DV269" i="1"/>
  <c r="FM269" i="1"/>
  <c r="FN269" i="1"/>
  <c r="DK269" i="1"/>
  <c r="FA269" i="1"/>
  <c r="EP269" i="1"/>
  <c r="CQ130" i="1"/>
  <c r="CN130" i="1" s="1"/>
  <c r="FI130" i="1"/>
  <c r="FI131" i="1" s="1"/>
  <c r="EO130" i="1"/>
  <c r="EO131" i="1" s="1"/>
  <c r="DA130" i="1"/>
  <c r="EP130" i="1"/>
  <c r="EP131" i="1" s="1"/>
  <c r="DM130" i="1"/>
  <c r="EZ130" i="1"/>
  <c r="EC130" i="1"/>
  <c r="EC131" i="1" s="1"/>
  <c r="FA130" i="1"/>
  <c r="FA131" i="1" s="1"/>
  <c r="ED130" i="1"/>
  <c r="ED131" i="1" s="1"/>
  <c r="FB130" i="1"/>
  <c r="FB131" i="1" s="1"/>
  <c r="DV130" i="1"/>
  <c r="DV131" i="1" s="1"/>
  <c r="DH130" i="1"/>
  <c r="FG130" i="1"/>
  <c r="FG131" i="1" s="1"/>
  <c r="EB130" i="1"/>
  <c r="EB131" i="1" s="1"/>
  <c r="DI130" i="1"/>
  <c r="FM130" i="1"/>
  <c r="ET130" i="1"/>
  <c r="FN130" i="1"/>
  <c r="FN131" i="1" s="1"/>
  <c r="EU130" i="1"/>
  <c r="EU131" i="1" s="1"/>
  <c r="DW130" i="1"/>
  <c r="DW131" i="1" s="1"/>
  <c r="DJ130" i="1"/>
  <c r="FO130" i="1"/>
  <c r="FO131" i="1" s="1"/>
  <c r="DX130" i="1"/>
  <c r="DX131" i="1" s="1"/>
  <c r="CG130" i="1"/>
  <c r="M130" i="1" s="1"/>
  <c r="FF130" i="1"/>
  <c r="EV130" i="1"/>
  <c r="EV131" i="1" s="1"/>
  <c r="EH130" i="1"/>
  <c r="EH131" i="1" s="1"/>
  <c r="DK130" i="1"/>
  <c r="FH130" i="1"/>
  <c r="FH131" i="1" s="1"/>
  <c r="EI130" i="1"/>
  <c r="EI131" i="1" s="1"/>
  <c r="DL130" i="1"/>
  <c r="EN130" i="1"/>
  <c r="EN131" i="1" s="1"/>
  <c r="EJ130" i="1"/>
  <c r="EJ131" i="1" s="1"/>
  <c r="FR196" i="1"/>
  <c r="DL196" i="1"/>
  <c r="DV196" i="1"/>
  <c r="FA196" i="1"/>
  <c r="FO196" i="1"/>
  <c r="EC196" i="1"/>
  <c r="EP196" i="1"/>
  <c r="EJ196" i="1"/>
  <c r="EO196" i="1"/>
  <c r="FB196" i="1"/>
  <c r="EN196" i="1"/>
  <c r="EV196" i="1"/>
  <c r="FF196" i="1"/>
  <c r="EI196" i="1"/>
  <c r="ED196" i="1"/>
  <c r="FN196" i="1"/>
  <c r="DM196" i="1"/>
  <c r="EH196" i="1"/>
  <c r="ET196" i="1"/>
  <c r="FI196" i="1"/>
  <c r="FH196" i="1"/>
  <c r="DW196" i="1"/>
  <c r="DK196" i="1"/>
  <c r="EU196" i="1"/>
  <c r="FM196" i="1"/>
  <c r="DA196" i="1"/>
  <c r="EZ196" i="1"/>
  <c r="DJ196" i="1"/>
  <c r="EB196" i="1"/>
  <c r="DI196" i="1"/>
  <c r="FG196" i="1"/>
  <c r="DH196" i="1"/>
  <c r="DX196" i="1"/>
  <c r="CQ110" i="1"/>
  <c r="CN110" i="1" s="1"/>
  <c r="FO110" i="1"/>
  <c r="EP110" i="1"/>
  <c r="ED110" i="1"/>
  <c r="FF110" i="1"/>
  <c r="FI110" i="1"/>
  <c r="EU110" i="1"/>
  <c r="DM110" i="1"/>
  <c r="EZ110" i="1"/>
  <c r="EJ110" i="1"/>
  <c r="FG110" i="1"/>
  <c r="EV110" i="1"/>
  <c r="FN110" i="1"/>
  <c r="EH110" i="1"/>
  <c r="FH110" i="1"/>
  <c r="DA110" i="1"/>
  <c r="EC110" i="1"/>
  <c r="FA110" i="1"/>
  <c r="ET110" i="1"/>
  <c r="DI110" i="1"/>
  <c r="FB110" i="1"/>
  <c r="EN110" i="1"/>
  <c r="DW110" i="1"/>
  <c r="CG110" i="1"/>
  <c r="M110" i="1" s="1"/>
  <c r="DX110" i="1"/>
  <c r="DJ110" i="1"/>
  <c r="DH110" i="1"/>
  <c r="DK110" i="1"/>
  <c r="FM110" i="1"/>
  <c r="EB110" i="1"/>
  <c r="EI110" i="1"/>
  <c r="DL110" i="1"/>
  <c r="DV110" i="1"/>
  <c r="EO110" i="1"/>
  <c r="EH178" i="1"/>
  <c r="EV178" i="1"/>
  <c r="FM178" i="1"/>
  <c r="DX178" i="1"/>
  <c r="DW178" i="1"/>
  <c r="FF178" i="1"/>
  <c r="EU178" i="1"/>
  <c r="FG178" i="1"/>
  <c r="EN178" i="1"/>
  <c r="FN178" i="1"/>
  <c r="EP178" i="1"/>
  <c r="DV178" i="1"/>
  <c r="EI178" i="1"/>
  <c r="EJ178" i="1"/>
  <c r="ED178" i="1"/>
  <c r="FB178" i="1"/>
  <c r="DH178" i="1"/>
  <c r="EO178" i="1"/>
  <c r="DJ178" i="1"/>
  <c r="FH178" i="1"/>
  <c r="DK178" i="1"/>
  <c r="FA178" i="1"/>
  <c r="DI178" i="1"/>
  <c r="ET178" i="1"/>
  <c r="FI178" i="1"/>
  <c r="DL178" i="1"/>
  <c r="EB178" i="1"/>
  <c r="EC178" i="1"/>
  <c r="EZ178" i="1"/>
  <c r="FO178" i="1"/>
  <c r="EO152" i="1"/>
  <c r="EO153" i="1" s="1"/>
  <c r="EO154" i="1" s="1"/>
  <c r="EI152" i="1"/>
  <c r="EI153" i="1" s="1"/>
  <c r="EI154" i="1" s="1"/>
  <c r="FG152" i="1"/>
  <c r="FG153" i="1" s="1"/>
  <c r="FG154" i="1" s="1"/>
  <c r="FO152" i="1"/>
  <c r="FO153" i="1" s="1"/>
  <c r="FO154" i="1" s="1"/>
  <c r="FI152" i="1"/>
  <c r="FI153" i="1" s="1"/>
  <c r="FI154" i="1" s="1"/>
  <c r="EC152" i="1"/>
  <c r="EC153" i="1" s="1"/>
  <c r="EC154" i="1" s="1"/>
  <c r="DX152" i="1"/>
  <c r="DX153" i="1" s="1"/>
  <c r="DX154" i="1" s="1"/>
  <c r="FH152" i="1"/>
  <c r="FH153" i="1" s="1"/>
  <c r="FH154" i="1" s="1"/>
  <c r="EV152" i="1"/>
  <c r="EV153" i="1" s="1"/>
  <c r="EV154" i="1" s="1"/>
  <c r="ED152" i="1"/>
  <c r="ED153" i="1" s="1"/>
  <c r="ED154" i="1" s="1"/>
  <c r="DL152" i="1"/>
  <c r="EU152" i="1"/>
  <c r="EU153" i="1" s="1"/>
  <c r="EU154" i="1" s="1"/>
  <c r="EP152" i="1"/>
  <c r="EP153" i="1" s="1"/>
  <c r="EP154" i="1" s="1"/>
  <c r="FN152" i="1"/>
  <c r="FN153" i="1" s="1"/>
  <c r="FN154" i="1" s="1"/>
  <c r="FA152" i="1"/>
  <c r="FA153" i="1" s="1"/>
  <c r="FA154" i="1" s="1"/>
  <c r="FB152" i="1"/>
  <c r="FB153" i="1" s="1"/>
  <c r="FB154" i="1" s="1"/>
  <c r="DI152" i="1"/>
  <c r="CG152" i="1"/>
  <c r="M152" i="1" s="1"/>
  <c r="EJ152" i="1"/>
  <c r="EJ153" i="1" s="1"/>
  <c r="EJ154" i="1" s="1"/>
  <c r="DW152" i="1"/>
  <c r="DW153" i="1" s="1"/>
  <c r="DW154" i="1" s="1"/>
  <c r="DK152" i="1"/>
  <c r="FO191" i="1"/>
  <c r="EJ191" i="1"/>
  <c r="DK191" i="1"/>
  <c r="FF191" i="1"/>
  <c r="EC191" i="1"/>
  <c r="FG191" i="1"/>
  <c r="ED191" i="1"/>
  <c r="FB191" i="1"/>
  <c r="FH191" i="1"/>
  <c r="DV191" i="1"/>
  <c r="EZ191" i="1"/>
  <c r="DW191" i="1"/>
  <c r="EP191" i="1"/>
  <c r="DX191" i="1"/>
  <c r="ET191" i="1"/>
  <c r="EO191" i="1"/>
  <c r="EU191" i="1"/>
  <c r="EH191" i="1"/>
  <c r="FI191" i="1"/>
  <c r="FM191" i="1"/>
  <c r="FA191" i="1"/>
  <c r="FN191" i="1"/>
  <c r="EN191" i="1"/>
  <c r="DH191" i="1"/>
  <c r="CG191" i="1"/>
  <c r="M191" i="1" s="1"/>
  <c r="DI191" i="1"/>
  <c r="DJ191" i="1"/>
  <c r="DL191" i="1"/>
  <c r="EV191" i="1"/>
  <c r="EB191" i="1"/>
  <c r="EI191" i="1"/>
  <c r="FR12" i="1"/>
  <c r="FO12" i="1"/>
  <c r="EN12" i="1"/>
  <c r="FF12" i="1"/>
  <c r="EJ12" i="1"/>
  <c r="FG12" i="1"/>
  <c r="EO12" i="1"/>
  <c r="FI12" i="1"/>
  <c r="ED12" i="1"/>
  <c r="EZ12" i="1"/>
  <c r="ET12" i="1"/>
  <c r="EH12" i="1"/>
  <c r="DI12" i="1"/>
  <c r="FA12" i="1"/>
  <c r="DV12" i="1"/>
  <c r="EU12" i="1"/>
  <c r="DW12" i="1"/>
  <c r="FM12" i="1"/>
  <c r="EI12" i="1"/>
  <c r="DX12" i="1"/>
  <c r="FN12" i="1"/>
  <c r="EV12" i="1"/>
  <c r="FH12" i="1"/>
  <c r="FB12" i="1"/>
  <c r="EP12" i="1"/>
  <c r="EC12" i="1"/>
  <c r="DM12" i="1"/>
  <c r="EB12" i="1"/>
  <c r="CG12" i="1"/>
  <c r="M12" i="1" s="1"/>
  <c r="DJ12" i="1"/>
  <c r="DK12" i="1"/>
  <c r="DH12" i="1"/>
  <c r="DA12" i="1"/>
  <c r="DL12" i="1"/>
  <c r="AJ177" i="1"/>
  <c r="AK176" i="1"/>
  <c r="L262" i="1"/>
  <c r="EZ67" i="1"/>
  <c r="DK67" i="1"/>
  <c r="DH67" i="1"/>
  <c r="FH67" i="1"/>
  <c r="EB67" i="1"/>
  <c r="DV67" i="1"/>
  <c r="CG67" i="1"/>
  <c r="M67" i="1" s="1"/>
  <c r="FO67" i="1"/>
  <c r="FR181" i="1"/>
  <c r="ET181" i="1"/>
  <c r="EJ181" i="1"/>
  <c r="DA181" i="1"/>
  <c r="EU181" i="1"/>
  <c r="EC181" i="1"/>
  <c r="FI181" i="1"/>
  <c r="DV181" i="1"/>
  <c r="DM181" i="1"/>
  <c r="FM181" i="1"/>
  <c r="DW181" i="1"/>
  <c r="FB181" i="1"/>
  <c r="EI181" i="1"/>
  <c r="CG181" i="1"/>
  <c r="M181" i="1" s="1"/>
  <c r="FG181" i="1"/>
  <c r="EB181" i="1"/>
  <c r="DK181" i="1"/>
  <c r="FH181" i="1"/>
  <c r="EZ181" i="1"/>
  <c r="FA181" i="1"/>
  <c r="EV181" i="1"/>
  <c r="EN181" i="1"/>
  <c r="EO181" i="1"/>
  <c r="EP181" i="1"/>
  <c r="DX181" i="1"/>
  <c r="DH181" i="1"/>
  <c r="EH181" i="1"/>
  <c r="FN181" i="1"/>
  <c r="ED181" i="1"/>
  <c r="FO181" i="1"/>
  <c r="DI181" i="1"/>
  <c r="FF181" i="1"/>
  <c r="DJ181" i="1"/>
  <c r="DL181" i="1"/>
  <c r="FR126" i="1"/>
  <c r="CG234" i="1"/>
  <c r="M234" i="1" s="1"/>
  <c r="FR195" i="1"/>
  <c r="FG195" i="1"/>
  <c r="EB195" i="1"/>
  <c r="FI195" i="1"/>
  <c r="EC195" i="1"/>
  <c r="EP195" i="1"/>
  <c r="EO195" i="1"/>
  <c r="DH195" i="1"/>
  <c r="CG195" i="1"/>
  <c r="M195" i="1" s="1"/>
  <c r="ET195" i="1"/>
  <c r="EH195" i="1"/>
  <c r="DI195" i="1"/>
  <c r="FH195" i="1"/>
  <c r="EU195" i="1"/>
  <c r="ED195" i="1"/>
  <c r="DL195" i="1"/>
  <c r="FM195" i="1"/>
  <c r="EV195" i="1"/>
  <c r="DJ195" i="1"/>
  <c r="FN195" i="1"/>
  <c r="EN195" i="1"/>
  <c r="DK195" i="1"/>
  <c r="FO195" i="1"/>
  <c r="EJ195" i="1"/>
  <c r="DM195" i="1"/>
  <c r="FF195" i="1"/>
  <c r="EI195" i="1"/>
  <c r="EZ195" i="1"/>
  <c r="DV195" i="1"/>
  <c r="FA195" i="1"/>
  <c r="DW195" i="1"/>
  <c r="DA195" i="1"/>
  <c r="FB195" i="1"/>
  <c r="DX195" i="1"/>
  <c r="AK156" i="1"/>
  <c r="AJ157" i="1"/>
  <c r="CQ24" i="1"/>
  <c r="N24" i="1" s="1"/>
  <c r="FR24" i="1"/>
  <c r="FM24" i="1"/>
  <c r="EI24" i="1"/>
  <c r="DX24" i="1"/>
  <c r="FN24" i="1"/>
  <c r="EV24" i="1"/>
  <c r="DM24" i="1"/>
  <c r="FO24" i="1"/>
  <c r="EN24" i="1"/>
  <c r="DI24" i="1"/>
  <c r="FI24" i="1"/>
  <c r="EJ24" i="1"/>
  <c r="DL24" i="1"/>
  <c r="FF24" i="1"/>
  <c r="EO24" i="1"/>
  <c r="CG24" i="1"/>
  <c r="M24" i="1" s="1"/>
  <c r="FG24" i="1"/>
  <c r="EP24" i="1"/>
  <c r="EZ24" i="1"/>
  <c r="FH24" i="1"/>
  <c r="DK24" i="1"/>
  <c r="FA24" i="1"/>
  <c r="ED24" i="1"/>
  <c r="DJ24" i="1"/>
  <c r="FB24" i="1"/>
  <c r="EC24" i="1"/>
  <c r="DH24" i="1"/>
  <c r="ET24" i="1"/>
  <c r="DV24" i="1"/>
  <c r="DA24" i="1"/>
  <c r="EU24" i="1"/>
  <c r="DW24" i="1"/>
  <c r="EH24" i="1"/>
  <c r="EB24" i="1"/>
  <c r="CG197" i="1"/>
  <c r="M197" i="1" s="1"/>
  <c r="FB197" i="1"/>
  <c r="FB198" i="1" s="1"/>
  <c r="FB199" i="1" s="1"/>
  <c r="FB200" i="1" s="1"/>
  <c r="FB201" i="1" s="1"/>
  <c r="FB202" i="1" s="1"/>
  <c r="FB203" i="1" s="1"/>
  <c r="EP197" i="1"/>
  <c r="EP198" i="1" s="1"/>
  <c r="EP199" i="1" s="1"/>
  <c r="EP200" i="1" s="1"/>
  <c r="EP201" i="1" s="1"/>
  <c r="EP202" i="1" s="1"/>
  <c r="EP203" i="1" s="1"/>
  <c r="EN197" i="1"/>
  <c r="EN198" i="1" s="1"/>
  <c r="EN199" i="1" s="1"/>
  <c r="EN200" i="1" s="1"/>
  <c r="EN201" i="1" s="1"/>
  <c r="EN202" i="1" s="1"/>
  <c r="EN203" i="1" s="1"/>
  <c r="EO197" i="1"/>
  <c r="EO198" i="1" s="1"/>
  <c r="EO199" i="1" s="1"/>
  <c r="EO200" i="1" s="1"/>
  <c r="EO201" i="1" s="1"/>
  <c r="EO202" i="1" s="1"/>
  <c r="EO203" i="1" s="1"/>
  <c r="DM197" i="1"/>
  <c r="DM198" i="1" s="1"/>
  <c r="DM199" i="1" s="1"/>
  <c r="DM200" i="1" s="1"/>
  <c r="DM201" i="1" s="1"/>
  <c r="DM202" i="1" s="1"/>
  <c r="DM203" i="1" s="1"/>
  <c r="FO197" i="1"/>
  <c r="FO198" i="1" s="1"/>
  <c r="FO199" i="1" s="1"/>
  <c r="FO200" i="1" s="1"/>
  <c r="FO201" i="1" s="1"/>
  <c r="FO202" i="1" s="1"/>
  <c r="FO203" i="1" s="1"/>
  <c r="FM197" i="1"/>
  <c r="FM198" i="1" s="1"/>
  <c r="FM199" i="1" s="1"/>
  <c r="FM200" i="1" s="1"/>
  <c r="FM201" i="1" s="1"/>
  <c r="FM202" i="1" s="1"/>
  <c r="DH197" i="1"/>
  <c r="EJ197" i="1"/>
  <c r="EJ198" i="1" s="1"/>
  <c r="EJ199" i="1" s="1"/>
  <c r="EJ200" i="1" s="1"/>
  <c r="EJ201" i="1" s="1"/>
  <c r="EJ202" i="1" s="1"/>
  <c r="EJ203" i="1" s="1"/>
  <c r="FI197" i="1"/>
  <c r="FI198" i="1" s="1"/>
  <c r="FI199" i="1" s="1"/>
  <c r="FI200" i="1" s="1"/>
  <c r="FI201" i="1" s="1"/>
  <c r="FI202" i="1" s="1"/>
  <c r="FI203" i="1" s="1"/>
  <c r="EB197" i="1"/>
  <c r="EB198" i="1" s="1"/>
  <c r="EB199" i="1" s="1"/>
  <c r="EB200" i="1" s="1"/>
  <c r="EB201" i="1" s="1"/>
  <c r="EB202" i="1" s="1"/>
  <c r="EB203" i="1" s="1"/>
  <c r="FH197" i="1"/>
  <c r="FH198" i="1" s="1"/>
  <c r="EV197" i="1"/>
  <c r="EV198" i="1" s="1"/>
  <c r="EV199" i="1" s="1"/>
  <c r="EV200" i="1" s="1"/>
  <c r="EV201" i="1" s="1"/>
  <c r="EV202" i="1" s="1"/>
  <c r="EV203" i="1" s="1"/>
  <c r="EC197" i="1"/>
  <c r="EC198" i="1" s="1"/>
  <c r="EC199" i="1" s="1"/>
  <c r="EC200" i="1" s="1"/>
  <c r="EC201" i="1" s="1"/>
  <c r="EC202" i="1" s="1"/>
  <c r="EC203" i="1" s="1"/>
  <c r="EZ197" i="1"/>
  <c r="FA197" i="1"/>
  <c r="FA198" i="1" s="1"/>
  <c r="FA199" i="1" s="1"/>
  <c r="FA200" i="1" s="1"/>
  <c r="FA201" i="1" s="1"/>
  <c r="FA202" i="1" s="1"/>
  <c r="FA203" i="1" s="1"/>
  <c r="DA197" i="1"/>
  <c r="EH197" i="1"/>
  <c r="EH198" i="1" s="1"/>
  <c r="EH199" i="1" s="1"/>
  <c r="EH200" i="1" s="1"/>
  <c r="EH201" i="1" s="1"/>
  <c r="EH202" i="1" s="1"/>
  <c r="EH203" i="1" s="1"/>
  <c r="ED197" i="1"/>
  <c r="ED198" i="1" s="1"/>
  <c r="ED199" i="1" s="1"/>
  <c r="ED200" i="1" s="1"/>
  <c r="ED201" i="1" s="1"/>
  <c r="ED202" i="1" s="1"/>
  <c r="ED203" i="1" s="1"/>
  <c r="DW197" i="1"/>
  <c r="DW198" i="1" s="1"/>
  <c r="DW199" i="1" s="1"/>
  <c r="DW200" i="1" s="1"/>
  <c r="DW201" i="1" s="1"/>
  <c r="DW202" i="1" s="1"/>
  <c r="DW203" i="1" s="1"/>
  <c r="DX197" i="1"/>
  <c r="DX198" i="1" s="1"/>
  <c r="DX199" i="1" s="1"/>
  <c r="DX200" i="1" s="1"/>
  <c r="DX201" i="1" s="1"/>
  <c r="DX202" i="1" s="1"/>
  <c r="DX203" i="1" s="1"/>
  <c r="DI197" i="1"/>
  <c r="DI198" i="1" s="1"/>
  <c r="DI199" i="1" s="1"/>
  <c r="DI200" i="1" s="1"/>
  <c r="DI201" i="1" s="1"/>
  <c r="DI202" i="1" s="1"/>
  <c r="DI203" i="1" s="1"/>
  <c r="ET197" i="1"/>
  <c r="EI197" i="1"/>
  <c r="EI198" i="1" s="1"/>
  <c r="EI199" i="1" s="1"/>
  <c r="EI200" i="1" s="1"/>
  <c r="EI201" i="1" s="1"/>
  <c r="EI202" i="1" s="1"/>
  <c r="EI203" i="1" s="1"/>
  <c r="DV197" i="1"/>
  <c r="DV198" i="1" s="1"/>
  <c r="DV199" i="1" s="1"/>
  <c r="DV200" i="1" s="1"/>
  <c r="DV201" i="1" s="1"/>
  <c r="DV202" i="1" s="1"/>
  <c r="DV203" i="1" s="1"/>
  <c r="DL197" i="1"/>
  <c r="DL198" i="1" s="1"/>
  <c r="DL199" i="1" s="1"/>
  <c r="DL200" i="1" s="1"/>
  <c r="DL201" i="1" s="1"/>
  <c r="DL202" i="1" s="1"/>
  <c r="DL203" i="1" s="1"/>
  <c r="EU197" i="1"/>
  <c r="EU198" i="1" s="1"/>
  <c r="EU199" i="1" s="1"/>
  <c r="EU200" i="1" s="1"/>
  <c r="EU201" i="1" s="1"/>
  <c r="EU202" i="1" s="1"/>
  <c r="EU203" i="1" s="1"/>
  <c r="DJ197" i="1"/>
  <c r="DJ198" i="1" s="1"/>
  <c r="DJ199" i="1" s="1"/>
  <c r="DJ200" i="1" s="1"/>
  <c r="DJ201" i="1" s="1"/>
  <c r="DJ202" i="1" s="1"/>
  <c r="DJ203" i="1" s="1"/>
  <c r="FG197" i="1"/>
  <c r="FG198" i="1" s="1"/>
  <c r="FG199" i="1" s="1"/>
  <c r="FG200" i="1" s="1"/>
  <c r="FG201" i="1" s="1"/>
  <c r="FG202" i="1" s="1"/>
  <c r="FG203" i="1" s="1"/>
  <c r="FF197" i="1"/>
  <c r="FN197" i="1"/>
  <c r="DK197" i="1"/>
  <c r="DK198" i="1" s="1"/>
  <c r="DK199" i="1" s="1"/>
  <c r="DK200" i="1" s="1"/>
  <c r="DK201" i="1" s="1"/>
  <c r="DK202" i="1" s="1"/>
  <c r="DK203" i="1" s="1"/>
  <c r="FH271" i="1"/>
  <c r="FH237" i="1" s="1"/>
  <c r="FH256" i="1" s="1"/>
  <c r="DW271" i="1"/>
  <c r="DW237" i="1" s="1"/>
  <c r="DW256" i="1" s="1"/>
  <c r="DI271" i="1"/>
  <c r="DI237" i="1" s="1"/>
  <c r="FA271" i="1"/>
  <c r="FA237" i="1" s="1"/>
  <c r="FA256" i="1" s="1"/>
  <c r="EI271" i="1"/>
  <c r="DL271" i="1"/>
  <c r="DL237" i="1" s="1"/>
  <c r="FI271" i="1"/>
  <c r="FI237" i="1" s="1"/>
  <c r="FI256" i="1" s="1"/>
  <c r="EC271" i="1"/>
  <c r="EC237" i="1" s="1"/>
  <c r="EC256" i="1" s="1"/>
  <c r="DX271" i="1"/>
  <c r="DX237" i="1" s="1"/>
  <c r="DX256" i="1" s="1"/>
  <c r="DJ271" i="1"/>
  <c r="DJ237" i="1" s="1"/>
  <c r="EO271" i="1"/>
  <c r="EO237" i="1" s="1"/>
  <c r="EO256" i="1" s="1"/>
  <c r="EB271" i="1"/>
  <c r="EB237" i="1" s="1"/>
  <c r="EB256" i="1" s="1"/>
  <c r="CG271" i="1"/>
  <c r="M271" i="1" s="1"/>
  <c r="DA271" i="1"/>
  <c r="FO271" i="1"/>
  <c r="FO237" i="1" s="1"/>
  <c r="FO256" i="1" s="1"/>
  <c r="EP271" i="1"/>
  <c r="EP237" i="1" s="1"/>
  <c r="EP256" i="1" s="1"/>
  <c r="ED271" i="1"/>
  <c r="ED237" i="1" s="1"/>
  <c r="ED256" i="1" s="1"/>
  <c r="EH271" i="1"/>
  <c r="EH237" i="1" s="1"/>
  <c r="EH256" i="1" s="1"/>
  <c r="FF271" i="1"/>
  <c r="ET271" i="1"/>
  <c r="EZ271" i="1"/>
  <c r="EN271" i="1"/>
  <c r="EN237" i="1" s="1"/>
  <c r="EN256" i="1" s="1"/>
  <c r="FB271" i="1"/>
  <c r="FB237" i="1" s="1"/>
  <c r="FB256" i="1" s="1"/>
  <c r="EU271" i="1"/>
  <c r="EU237" i="1" s="1"/>
  <c r="EU256" i="1" s="1"/>
  <c r="DH271" i="1"/>
  <c r="EV271" i="1"/>
  <c r="EV237" i="1" s="1"/>
  <c r="EV256" i="1" s="1"/>
  <c r="DK271" i="1"/>
  <c r="DK237" i="1" s="1"/>
  <c r="DM271" i="1"/>
  <c r="DM237" i="1" s="1"/>
  <c r="EJ271" i="1"/>
  <c r="EJ237" i="1" s="1"/>
  <c r="EJ256" i="1" s="1"/>
  <c r="DV271" i="1"/>
  <c r="DV237" i="1" s="1"/>
  <c r="DV256" i="1" s="1"/>
  <c r="FM271" i="1"/>
  <c r="FN271" i="1"/>
  <c r="FN237" i="1" s="1"/>
  <c r="FN256" i="1" s="1"/>
  <c r="FG271" i="1"/>
  <c r="FG237" i="1" s="1"/>
  <c r="FG256" i="1" s="1"/>
  <c r="CM201" i="1"/>
  <c r="CL201" i="1" s="1"/>
  <c r="H201" i="1" s="1"/>
  <c r="FR201" i="1"/>
  <c r="FJ201" i="1"/>
  <c r="CG201" i="1"/>
  <c r="M201" i="1" s="1"/>
  <c r="CQ201" i="1"/>
  <c r="N201" i="1" s="1"/>
  <c r="EK201" i="1"/>
  <c r="DT201" i="1"/>
  <c r="EQ201" i="1"/>
  <c r="DR201" i="1"/>
  <c r="EW201" i="1"/>
  <c r="DP201" i="1"/>
  <c r="FC201" i="1"/>
  <c r="DZ201" i="1"/>
  <c r="EE201" i="1"/>
  <c r="CO201" i="1"/>
  <c r="DO201" i="1"/>
  <c r="DE201" i="1"/>
  <c r="DA201" i="1"/>
  <c r="CP201" i="1"/>
  <c r="CQ124" i="1"/>
  <c r="CN124" i="1" s="1"/>
  <c r="FR124" i="1"/>
  <c r="EV124" i="1"/>
  <c r="DV124" i="1"/>
  <c r="DH124" i="1"/>
  <c r="FH124" i="1"/>
  <c r="EP124" i="1"/>
  <c r="DA124" i="1"/>
  <c r="EU124" i="1"/>
  <c r="EB124" i="1"/>
  <c r="CG124" i="1"/>
  <c r="M124" i="1" s="1"/>
  <c r="EZ124" i="1"/>
  <c r="EC124" i="1"/>
  <c r="DJ124" i="1"/>
  <c r="FF124" i="1"/>
  <c r="ED124" i="1"/>
  <c r="DW124" i="1"/>
  <c r="FO124" i="1"/>
  <c r="DX124" i="1"/>
  <c r="ET124" i="1"/>
  <c r="FA124" i="1"/>
  <c r="FB124" i="1"/>
  <c r="EN124" i="1"/>
  <c r="DL124" i="1"/>
  <c r="FG124" i="1"/>
  <c r="DK124" i="1"/>
  <c r="EH124" i="1"/>
  <c r="DM124" i="1"/>
  <c r="EO124" i="1"/>
  <c r="DI124" i="1"/>
  <c r="FN124" i="1"/>
  <c r="EI124" i="1"/>
  <c r="FM124" i="1"/>
  <c r="EJ124" i="1"/>
  <c r="FI124" i="1"/>
  <c r="FR194" i="1"/>
  <c r="FA194" i="1"/>
  <c r="EH194" i="1"/>
  <c r="FH194" i="1"/>
  <c r="EO194" i="1"/>
  <c r="DJ194" i="1"/>
  <c r="FG194" i="1"/>
  <c r="DX194" i="1"/>
  <c r="EZ194" i="1"/>
  <c r="EB194" i="1"/>
  <c r="FF194" i="1"/>
  <c r="DA194" i="1"/>
  <c r="FI194" i="1"/>
  <c r="DL194" i="1"/>
  <c r="ED194" i="1"/>
  <c r="DH194" i="1"/>
  <c r="EJ194" i="1"/>
  <c r="DM194" i="1"/>
  <c r="FN194" i="1"/>
  <c r="FB194" i="1"/>
  <c r="ET194" i="1"/>
  <c r="DK194" i="1"/>
  <c r="EV194" i="1"/>
  <c r="EN194" i="1"/>
  <c r="EU194" i="1"/>
  <c r="EP194" i="1"/>
  <c r="DV194" i="1"/>
  <c r="FO194" i="1"/>
  <c r="DW194" i="1"/>
  <c r="DI194" i="1"/>
  <c r="EC194" i="1"/>
  <c r="EI194" i="1"/>
  <c r="CG194" i="1"/>
  <c r="M194" i="1" s="1"/>
  <c r="FM194" i="1"/>
  <c r="CJ70" i="1"/>
  <c r="L247" i="1"/>
  <c r="CJ254" i="1"/>
  <c r="CJ139" i="1"/>
  <c r="CJ250" i="1"/>
  <c r="L192" i="1"/>
  <c r="L175" i="1"/>
  <c r="L137" i="1"/>
  <c r="L159" i="1"/>
  <c r="L28" i="1"/>
  <c r="L206" i="1"/>
  <c r="L181" i="1"/>
  <c r="CJ226" i="1"/>
  <c r="CJ191" i="1"/>
  <c r="CJ170" i="1"/>
  <c r="CJ105" i="1"/>
  <c r="CJ99" i="1"/>
  <c r="CJ166" i="1"/>
  <c r="CJ33" i="1"/>
  <c r="CJ232" i="1"/>
  <c r="CJ222" i="1"/>
  <c r="CJ143" i="1"/>
  <c r="L143" i="1"/>
  <c r="L109" i="1"/>
  <c r="L100" i="1"/>
  <c r="CJ142" i="1"/>
  <c r="L142" i="1"/>
  <c r="L111" i="1"/>
  <c r="L26" i="1"/>
  <c r="CJ257" i="1"/>
  <c r="L151" i="1"/>
  <c r="L121" i="1"/>
  <c r="L176" i="1"/>
  <c r="L170" i="1"/>
  <c r="L107" i="1"/>
  <c r="L199" i="1"/>
  <c r="L101" i="1"/>
  <c r="L48" i="1"/>
  <c r="L183" i="1"/>
  <c r="CJ133" i="1"/>
  <c r="CJ161" i="1"/>
  <c r="CJ130" i="1"/>
  <c r="CJ242" i="1"/>
  <c r="CJ28" i="1"/>
  <c r="CJ271" i="1"/>
  <c r="CJ38" i="1"/>
  <c r="CJ43" i="1"/>
  <c r="CJ151" i="1"/>
  <c r="CJ217" i="1"/>
  <c r="CJ195" i="1"/>
  <c r="L24" i="1"/>
  <c r="L225" i="1"/>
  <c r="L224" i="1"/>
  <c r="L10" i="1"/>
  <c r="L133" i="1"/>
  <c r="L190" i="1"/>
  <c r="L178" i="1"/>
  <c r="L156" i="1"/>
  <c r="L267" i="1"/>
  <c r="L150" i="1"/>
  <c r="CJ32" i="1"/>
  <c r="CJ189" i="1"/>
  <c r="CJ171" i="1"/>
  <c r="CJ245" i="1"/>
  <c r="CJ22" i="1"/>
  <c r="CJ208" i="1"/>
  <c r="CJ10" i="1"/>
  <c r="CJ214" i="1"/>
  <c r="L122" i="1"/>
  <c r="L155" i="1"/>
  <c r="L171" i="1"/>
  <c r="L157" i="1"/>
  <c r="L240" i="1"/>
  <c r="L102" i="1"/>
  <c r="L38" i="1"/>
  <c r="L43" i="1"/>
  <c r="CJ192" i="1"/>
  <c r="CJ188" i="1"/>
  <c r="CJ107" i="1"/>
  <c r="CJ244" i="1"/>
  <c r="CJ98" i="1"/>
  <c r="CJ110" i="1"/>
  <c r="CJ26" i="1"/>
  <c r="L216" i="1"/>
  <c r="L32" i="1"/>
  <c r="L128" i="1"/>
  <c r="L245" i="1"/>
  <c r="L126" i="1"/>
  <c r="L40" i="1"/>
  <c r="CJ187" i="1"/>
  <c r="CJ136" i="1"/>
  <c r="CJ157" i="1"/>
  <c r="CJ101" i="1"/>
  <c r="CJ49" i="1"/>
  <c r="CJ149" i="1"/>
  <c r="CJ215" i="1"/>
  <c r="L110" i="1"/>
  <c r="L25" i="1"/>
  <c r="L222" i="1"/>
  <c r="L221" i="1"/>
  <c r="L191" i="1"/>
  <c r="L129" i="1"/>
  <c r="L271" i="1"/>
  <c r="L39" i="1"/>
  <c r="CJ113" i="1"/>
  <c r="CJ129" i="1"/>
  <c r="CJ126" i="1"/>
  <c r="CJ181" i="1"/>
  <c r="CJ233" i="1"/>
  <c r="CJ150" i="1"/>
  <c r="CJ196" i="1"/>
  <c r="CJ227" i="1"/>
  <c r="CJ111" i="1"/>
  <c r="CJ25" i="1"/>
  <c r="CJ259" i="1"/>
  <c r="L113" i="1"/>
  <c r="L130" i="1"/>
  <c r="L269" i="1"/>
  <c r="L29" i="1"/>
  <c r="CJ114" i="1"/>
  <c r="CJ137" i="1"/>
  <c r="CJ269" i="1"/>
  <c r="CJ29" i="1"/>
  <c r="CJ194" i="1"/>
  <c r="CJ12" i="1"/>
  <c r="CJ213" i="1"/>
  <c r="L227" i="1"/>
  <c r="CJ109" i="1"/>
  <c r="L259" i="1"/>
  <c r="L226" i="1"/>
  <c r="L16" i="1"/>
  <c r="L114" i="1"/>
  <c r="L140" i="1"/>
  <c r="L21" i="1"/>
  <c r="L165" i="1"/>
  <c r="L46" i="1"/>
  <c r="CJ155" i="1"/>
  <c r="CJ178" i="1"/>
  <c r="CJ240" i="1"/>
  <c r="CJ267" i="1"/>
  <c r="CJ42" i="1"/>
  <c r="CJ224" i="1"/>
  <c r="L197" i="1"/>
  <c r="L215" i="1"/>
  <c r="CJ144" i="1"/>
  <c r="L257" i="1"/>
  <c r="L189" i="1"/>
  <c r="L138" i="1"/>
  <c r="L22" i="1"/>
  <c r="L208" i="1"/>
  <c r="L184" i="1"/>
  <c r="CJ175" i="1"/>
  <c r="CJ140" i="1"/>
  <c r="CJ102" i="1"/>
  <c r="CJ34" i="1"/>
  <c r="CJ210" i="1"/>
  <c r="CJ148" i="1"/>
  <c r="L217" i="1"/>
  <c r="L144" i="1"/>
  <c r="L139" i="1"/>
  <c r="L147" i="1"/>
  <c r="L214" i="1"/>
  <c r="L12" i="1"/>
  <c r="L174" i="1"/>
  <c r="L106" i="1"/>
  <c r="L207" i="1"/>
  <c r="L30" i="1"/>
  <c r="CJ268" i="1"/>
  <c r="CJ174" i="1"/>
  <c r="CJ104" i="1"/>
  <c r="CJ199" i="1"/>
  <c r="CJ165" i="1"/>
  <c r="CJ46" i="1"/>
  <c r="CJ220" i="1"/>
  <c r="L120" i="1"/>
  <c r="L161" i="1"/>
  <c r="L105" i="1"/>
  <c r="L239" i="1"/>
  <c r="L45" i="1"/>
  <c r="CJ270" i="1"/>
  <c r="CJ158" i="1"/>
  <c r="CJ138" i="1"/>
  <c r="CJ20" i="1"/>
  <c r="CJ206" i="1"/>
  <c r="L218" i="1"/>
  <c r="CJ258" i="1"/>
  <c r="L211" i="1"/>
  <c r="L268" i="1"/>
  <c r="L188" i="1"/>
  <c r="L179" i="1"/>
  <c r="L98" i="1"/>
  <c r="L166" i="1"/>
  <c r="L185" i="1"/>
  <c r="CJ120" i="1"/>
  <c r="CJ190" i="1"/>
  <c r="CJ106" i="1"/>
  <c r="CJ239" i="1"/>
  <c r="CJ207" i="1"/>
  <c r="CJ184" i="1"/>
  <c r="CJ17" i="1"/>
  <c r="CJ16" i="1"/>
  <c r="CJ218" i="1"/>
  <c r="L258" i="1"/>
  <c r="L250" i="1"/>
  <c r="L270" i="1"/>
  <c r="L158" i="1"/>
  <c r="L104" i="1"/>
  <c r="L99" i="1"/>
  <c r="L49" i="1"/>
  <c r="L194" i="1"/>
  <c r="CJ132" i="1"/>
  <c r="CJ176" i="1"/>
  <c r="CJ179" i="1"/>
  <c r="CJ21" i="1"/>
  <c r="CJ48" i="1"/>
  <c r="CJ45" i="1"/>
  <c r="CJ146" i="1"/>
  <c r="CJ147" i="1"/>
  <c r="L149" i="1"/>
  <c r="L132" i="1"/>
  <c r="L177" i="1"/>
  <c r="L35" i="1"/>
  <c r="L124" i="1"/>
  <c r="L34" i="1"/>
  <c r="L233" i="1"/>
  <c r="CJ122" i="1"/>
  <c r="CJ44" i="1"/>
  <c r="CJ35" i="1"/>
  <c r="CJ36" i="1"/>
  <c r="CJ40" i="1"/>
  <c r="CJ183" i="1"/>
  <c r="CJ216" i="1"/>
  <c r="CJ211" i="1"/>
  <c r="CJ100" i="1"/>
  <c r="L134" i="1"/>
  <c r="L136" i="1"/>
  <c r="L242" i="1"/>
  <c r="L36" i="1"/>
  <c r="L33" i="1"/>
  <c r="L195" i="1"/>
  <c r="CJ134" i="1"/>
  <c r="CJ128" i="1"/>
  <c r="CJ156" i="1"/>
  <c r="CJ124" i="1"/>
  <c r="CJ39" i="1"/>
  <c r="CJ30" i="1"/>
  <c r="CJ225" i="1"/>
  <c r="CJ221" i="1"/>
  <c r="CJ197" i="1"/>
  <c r="CJ24" i="1"/>
  <c r="L196" i="1"/>
  <c r="L152" i="1"/>
  <c r="L187" i="1"/>
  <c r="L44" i="1"/>
  <c r="L244" i="1"/>
  <c r="L125" i="1"/>
  <c r="L42" i="1"/>
  <c r="L232" i="1"/>
  <c r="CJ121" i="1"/>
  <c r="CJ177" i="1"/>
  <c r="CJ159" i="1"/>
  <c r="CJ125" i="1"/>
  <c r="CJ185" i="1"/>
  <c r="CJ152" i="1"/>
  <c r="CM199" i="1"/>
  <c r="CL199" i="1" s="1"/>
  <c r="H199" i="1" s="1"/>
  <c r="FR199" i="1"/>
  <c r="EK199" i="1"/>
  <c r="DZ199" i="1"/>
  <c r="EE199" i="1"/>
  <c r="EQ199" i="1"/>
  <c r="CG199" i="1"/>
  <c r="M199" i="1" s="1"/>
  <c r="EW199" i="1"/>
  <c r="FC199" i="1"/>
  <c r="CP199" i="1"/>
  <c r="FJ199" i="1"/>
  <c r="DT199" i="1"/>
  <c r="CQ199" i="1"/>
  <c r="N199" i="1" s="1"/>
  <c r="DP199" i="1"/>
  <c r="DO199" i="1"/>
  <c r="DR199" i="1"/>
  <c r="DA199" i="1"/>
  <c r="DE199" i="1"/>
  <c r="CO199" i="1"/>
  <c r="FO211" i="1"/>
  <c r="FO212" i="1" s="1"/>
  <c r="EN211" i="1"/>
  <c r="EN212" i="1" s="1"/>
  <c r="EB211" i="1"/>
  <c r="EB212" i="1" s="1"/>
  <c r="DM211" i="1"/>
  <c r="FH211" i="1"/>
  <c r="FH212" i="1" s="1"/>
  <c r="EV211" i="1"/>
  <c r="EV212" i="1" s="1"/>
  <c r="DH211" i="1"/>
  <c r="FI211" i="1"/>
  <c r="FI212" i="1" s="1"/>
  <c r="EO211" i="1"/>
  <c r="EO212" i="1" s="1"/>
  <c r="EI211" i="1"/>
  <c r="EI212" i="1" s="1"/>
  <c r="DI211" i="1"/>
  <c r="DJ211" i="1"/>
  <c r="CG211" i="1"/>
  <c r="M211" i="1" s="1"/>
  <c r="FG211" i="1"/>
  <c r="FG212" i="1" s="1"/>
  <c r="EP211" i="1"/>
  <c r="EP212" i="1" s="1"/>
  <c r="EJ211" i="1"/>
  <c r="EJ212" i="1" s="1"/>
  <c r="DK211" i="1"/>
  <c r="EZ211" i="1"/>
  <c r="EC211" i="1"/>
  <c r="EC212" i="1" s="1"/>
  <c r="DA211" i="1"/>
  <c r="DL211" i="1"/>
  <c r="FA211" i="1"/>
  <c r="FA212" i="1" s="1"/>
  <c r="ED211" i="1"/>
  <c r="ED212" i="1" s="1"/>
  <c r="FM211" i="1"/>
  <c r="FB211" i="1"/>
  <c r="FB212" i="1" s="1"/>
  <c r="DV211" i="1"/>
  <c r="DV212" i="1" s="1"/>
  <c r="FF211" i="1"/>
  <c r="DW211" i="1"/>
  <c r="DW212" i="1" s="1"/>
  <c r="FN211" i="1"/>
  <c r="FN212" i="1" s="1"/>
  <c r="ET211" i="1"/>
  <c r="EH211" i="1"/>
  <c r="EH212" i="1" s="1"/>
  <c r="EU211" i="1"/>
  <c r="EU212" i="1" s="1"/>
  <c r="DX211" i="1"/>
  <c r="DX212" i="1" s="1"/>
  <c r="FR211" i="1"/>
  <c r="DB211" i="1"/>
  <c r="DC211" i="1" s="1"/>
  <c r="CJ67" i="1"/>
  <c r="FN259" i="1"/>
  <c r="FN249" i="1" s="1"/>
  <c r="EV259" i="1"/>
  <c r="EV249" i="1" s="1"/>
  <c r="DM259" i="1"/>
  <c r="FO259" i="1"/>
  <c r="FO249" i="1" s="1"/>
  <c r="EB259" i="1"/>
  <c r="EB249" i="1" s="1"/>
  <c r="FH259" i="1"/>
  <c r="FH249" i="1" s="1"/>
  <c r="EN259" i="1"/>
  <c r="EC259" i="1"/>
  <c r="EC249" i="1" s="1"/>
  <c r="DK259" i="1"/>
  <c r="FI259" i="1"/>
  <c r="FI249" i="1" s="1"/>
  <c r="EO259" i="1"/>
  <c r="EO249" i="1" s="1"/>
  <c r="EP259" i="1"/>
  <c r="EP249" i="1" s="1"/>
  <c r="EZ259" i="1"/>
  <c r="EH259" i="1"/>
  <c r="ED259" i="1"/>
  <c r="ED249" i="1" s="1"/>
  <c r="FF259" i="1"/>
  <c r="DI259" i="1"/>
  <c r="FA259" i="1"/>
  <c r="FA249" i="1" s="1"/>
  <c r="EI259" i="1"/>
  <c r="EI249" i="1" s="1"/>
  <c r="EJ259" i="1"/>
  <c r="EJ249" i="1" s="1"/>
  <c r="FB259" i="1"/>
  <c r="FB249" i="1" s="1"/>
  <c r="DV259" i="1"/>
  <c r="DV249" i="1" s="1"/>
  <c r="DH259" i="1"/>
  <c r="ET259" i="1"/>
  <c r="DW259" i="1"/>
  <c r="DW249" i="1" s="1"/>
  <c r="DJ259" i="1"/>
  <c r="DL259" i="1"/>
  <c r="EU259" i="1"/>
  <c r="EU249" i="1" s="1"/>
  <c r="DX259" i="1"/>
  <c r="DX249" i="1" s="1"/>
  <c r="FM259" i="1"/>
  <c r="FG259" i="1"/>
  <c r="FG249" i="1" s="1"/>
  <c r="DA259" i="1"/>
  <c r="CJ262" i="1"/>
  <c r="CJ255" i="1"/>
  <c r="CG183" i="1"/>
  <c r="M183" i="1" s="1"/>
  <c r="L220" i="1"/>
  <c r="L17" i="1"/>
  <c r="CM200" i="1"/>
  <c r="CL200" i="1" s="1"/>
  <c r="H200" i="1" s="1"/>
  <c r="FR200" i="1"/>
  <c r="DE200" i="1"/>
  <c r="EQ200" i="1"/>
  <c r="DP200" i="1"/>
  <c r="CP200" i="1"/>
  <c r="DT200" i="1"/>
  <c r="CQ200" i="1"/>
  <c r="N200" i="1" s="1"/>
  <c r="DR200" i="1"/>
  <c r="DZ200" i="1"/>
  <c r="DO200" i="1"/>
  <c r="EE200" i="1"/>
  <c r="DA200" i="1"/>
  <c r="EK200" i="1"/>
  <c r="EW200" i="1"/>
  <c r="CO200" i="1"/>
  <c r="FC200" i="1"/>
  <c r="CG200" i="1"/>
  <c r="M200" i="1" s="1"/>
  <c r="FJ200" i="1"/>
  <c r="FG179" i="1"/>
  <c r="FG180" i="1" s="1"/>
  <c r="ED179" i="1"/>
  <c r="ED180" i="1" s="1"/>
  <c r="EC179" i="1"/>
  <c r="EC180" i="1" s="1"/>
  <c r="DI179" i="1"/>
  <c r="EO179" i="1"/>
  <c r="EO180" i="1" s="1"/>
  <c r="FA179" i="1"/>
  <c r="FA180" i="1" s="1"/>
  <c r="DL179" i="1"/>
  <c r="FO179" i="1"/>
  <c r="FO180" i="1" s="1"/>
  <c r="FH179" i="1"/>
  <c r="FH180" i="1" s="1"/>
  <c r="DW179" i="1"/>
  <c r="DW180" i="1" s="1"/>
  <c r="EJ179" i="1"/>
  <c r="EJ180" i="1" s="1"/>
  <c r="EP179" i="1"/>
  <c r="EP180" i="1" s="1"/>
  <c r="DK179" i="1"/>
  <c r="DX179" i="1"/>
  <c r="DX180" i="1" s="1"/>
  <c r="EU179" i="1"/>
  <c r="EU180" i="1" s="1"/>
  <c r="EV179" i="1"/>
  <c r="EV180" i="1" s="1"/>
  <c r="FN179" i="1"/>
  <c r="FN180" i="1" s="1"/>
  <c r="FB179" i="1"/>
  <c r="FB180" i="1" s="1"/>
  <c r="EI179" i="1"/>
  <c r="EI180" i="1" s="1"/>
  <c r="FI179" i="1"/>
  <c r="FI180" i="1" s="1"/>
  <c r="FM20" i="1"/>
  <c r="EN20" i="1"/>
  <c r="DI20" i="1"/>
  <c r="FI20" i="1"/>
  <c r="DV20" i="1"/>
  <c r="EU20" i="1"/>
  <c r="DX20" i="1"/>
  <c r="DA20" i="1"/>
  <c r="FN20" i="1"/>
  <c r="EV20" i="1"/>
  <c r="ED20" i="1"/>
  <c r="DJ20" i="1"/>
  <c r="FO20" i="1"/>
  <c r="EJ20" i="1"/>
  <c r="EB20" i="1"/>
  <c r="FH20" i="1"/>
  <c r="DW20" i="1"/>
  <c r="EC20" i="1"/>
  <c r="EZ20" i="1"/>
  <c r="FA20" i="1"/>
  <c r="DM20" i="1"/>
  <c r="FB20" i="1"/>
  <c r="ET20" i="1"/>
  <c r="DK20" i="1"/>
  <c r="DL20" i="1"/>
  <c r="EH20" i="1"/>
  <c r="EO20" i="1"/>
  <c r="EI20" i="1"/>
  <c r="EP20" i="1"/>
  <c r="DH20" i="1"/>
  <c r="FF20" i="1"/>
  <c r="FG20" i="1"/>
  <c r="EU207" i="1"/>
  <c r="EI207" i="1"/>
  <c r="DK207" i="1"/>
  <c r="FF207" i="1"/>
  <c r="EN207" i="1"/>
  <c r="EJ207" i="1"/>
  <c r="FH207" i="1"/>
  <c r="EV207" i="1"/>
  <c r="FN207" i="1"/>
  <c r="EB207" i="1"/>
  <c r="FO207" i="1"/>
  <c r="DV207" i="1"/>
  <c r="FB207" i="1"/>
  <c r="EC207" i="1"/>
  <c r="FG207" i="1"/>
  <c r="DW207" i="1"/>
  <c r="DH207" i="1"/>
  <c r="FA207" i="1"/>
  <c r="EH207" i="1"/>
  <c r="DL207" i="1"/>
  <c r="FM207" i="1"/>
  <c r="FL207" i="1" s="1"/>
  <c r="FI207" i="1"/>
  <c r="EZ207" i="1"/>
  <c r="DI207" i="1"/>
  <c r="CG207" i="1"/>
  <c r="M207" i="1" s="1"/>
  <c r="ET207" i="1"/>
  <c r="DJ207" i="1"/>
  <c r="EO207" i="1"/>
  <c r="EP207" i="1"/>
  <c r="ED207" i="1"/>
  <c r="DX207" i="1"/>
  <c r="CM232" i="1"/>
  <c r="CL232" i="1" s="1"/>
  <c r="H232" i="1" s="1"/>
  <c r="FR232" i="1"/>
  <c r="FA232" i="1"/>
  <c r="FA233" i="1" s="1"/>
  <c r="FA234" i="1" s="1"/>
  <c r="FA235" i="1" s="1"/>
  <c r="FA205" i="1" s="1"/>
  <c r="FH232" i="1"/>
  <c r="FH233" i="1" s="1"/>
  <c r="FH234" i="1" s="1"/>
  <c r="FH235" i="1" s="1"/>
  <c r="FH205" i="1" s="1"/>
  <c r="DL232" i="1"/>
  <c r="DL256" i="1" s="1"/>
  <c r="EE232" i="1"/>
  <c r="CO232" i="1"/>
  <c r="FF232" i="1"/>
  <c r="FF233" i="1" s="1"/>
  <c r="FF234" i="1" s="1"/>
  <c r="FF235" i="1" s="1"/>
  <c r="FI232" i="1"/>
  <c r="FI233" i="1" s="1"/>
  <c r="FI234" i="1" s="1"/>
  <c r="FI235" i="1" s="1"/>
  <c r="FI205" i="1" s="1"/>
  <c r="EU232" i="1"/>
  <c r="EU233" i="1" s="1"/>
  <c r="DJ232" i="1"/>
  <c r="DJ256" i="1" s="1"/>
  <c r="EK232" i="1"/>
  <c r="DX232" i="1"/>
  <c r="DX233" i="1" s="1"/>
  <c r="DX234" i="1" s="1"/>
  <c r="DX235" i="1" s="1"/>
  <c r="DX205" i="1" s="1"/>
  <c r="EG232" i="1"/>
  <c r="EG233" i="1" s="1"/>
  <c r="EG234" i="1" s="1"/>
  <c r="EG235" i="1" s="1"/>
  <c r="EG205" i="1" s="1"/>
  <c r="EQ232" i="1"/>
  <c r="DO232" i="1"/>
  <c r="DT232" i="1"/>
  <c r="ET232" i="1"/>
  <c r="ET233" i="1" s="1"/>
  <c r="ET234" i="1" s="1"/>
  <c r="DW232" i="1"/>
  <c r="DW233" i="1" s="1"/>
  <c r="DW234" i="1" s="1"/>
  <c r="DW235" i="1" s="1"/>
  <c r="DW205" i="1" s="1"/>
  <c r="EN232" i="1"/>
  <c r="EN233" i="1" s="1"/>
  <c r="EN234" i="1" s="1"/>
  <c r="EN235" i="1" s="1"/>
  <c r="EN205" i="1" s="1"/>
  <c r="EW232" i="1"/>
  <c r="DR232" i="1"/>
  <c r="FG232" i="1"/>
  <c r="FG233" i="1" s="1"/>
  <c r="FG234" i="1" s="1"/>
  <c r="FC232" i="1"/>
  <c r="DP232" i="1"/>
  <c r="CG232" i="1"/>
  <c r="M232" i="1" s="1"/>
  <c r="FM232" i="1"/>
  <c r="EM232" i="1"/>
  <c r="EM233" i="1" s="1"/>
  <c r="EM234" i="1" s="1"/>
  <c r="EM235" i="1" s="1"/>
  <c r="EM205" i="1" s="1"/>
  <c r="FJ232" i="1"/>
  <c r="DE232" i="1"/>
  <c r="EO232" i="1"/>
  <c r="EO233" i="1" s="1"/>
  <c r="EO234" i="1" s="1"/>
  <c r="EO235" i="1" s="1"/>
  <c r="EO205" i="1" s="1"/>
  <c r="EZ232" i="1"/>
  <c r="EB232" i="1"/>
  <c r="EB233" i="1" s="1"/>
  <c r="EB234" i="1" s="1"/>
  <c r="EB235" i="1" s="1"/>
  <c r="EB205" i="1" s="1"/>
  <c r="EV232" i="1"/>
  <c r="EV233" i="1" s="1"/>
  <c r="EV234" i="1" s="1"/>
  <c r="EV235" i="1" s="1"/>
  <c r="EV205" i="1" s="1"/>
  <c r="CP232" i="1"/>
  <c r="FN232" i="1"/>
  <c r="FN233" i="1" s="1"/>
  <c r="FN234" i="1" s="1"/>
  <c r="FN235" i="1" s="1"/>
  <c r="FN205" i="1" s="1"/>
  <c r="ED232" i="1"/>
  <c r="ED233" i="1" s="1"/>
  <c r="ED234" i="1" s="1"/>
  <c r="ED235" i="1" s="1"/>
  <c r="ED205" i="1" s="1"/>
  <c r="EI232" i="1"/>
  <c r="EI233" i="1" s="1"/>
  <c r="EI234" i="1" s="1"/>
  <c r="EI235" i="1" s="1"/>
  <c r="EI205" i="1" s="1"/>
  <c r="DH232" i="1"/>
  <c r="DH233" i="1" s="1"/>
  <c r="DH234" i="1" s="1"/>
  <c r="CQ232" i="1"/>
  <c r="N232" i="1" s="1"/>
  <c r="FB232" i="1"/>
  <c r="FB233" i="1" s="1"/>
  <c r="FB234" i="1" s="1"/>
  <c r="FB235" i="1" s="1"/>
  <c r="FB205" i="1" s="1"/>
  <c r="DV232" i="1"/>
  <c r="DV233" i="1" s="1"/>
  <c r="DV234" i="1" s="1"/>
  <c r="DV235" i="1" s="1"/>
  <c r="DV205" i="1" s="1"/>
  <c r="EJ232" i="1"/>
  <c r="EJ233" i="1" s="1"/>
  <c r="EJ234" i="1" s="1"/>
  <c r="EJ235" i="1" s="1"/>
  <c r="EJ205" i="1" s="1"/>
  <c r="DI232" i="1"/>
  <c r="DI256" i="1" s="1"/>
  <c r="EP232" i="1"/>
  <c r="EP233" i="1" s="1"/>
  <c r="EP234" i="1" s="1"/>
  <c r="EP235" i="1" s="1"/>
  <c r="EP205" i="1" s="1"/>
  <c r="DK232" i="1"/>
  <c r="DK256" i="1" s="1"/>
  <c r="FO232" i="1"/>
  <c r="FO233" i="1" s="1"/>
  <c r="FO234" i="1" s="1"/>
  <c r="FO235" i="1" s="1"/>
  <c r="FO205" i="1" s="1"/>
  <c r="EC232" i="1"/>
  <c r="EC233" i="1" s="1"/>
  <c r="EC234" i="1" s="1"/>
  <c r="EC235" i="1" s="1"/>
  <c r="EC205" i="1" s="1"/>
  <c r="EH232" i="1"/>
  <c r="EH233" i="1" s="1"/>
  <c r="EH234" i="1" s="1"/>
  <c r="EH235" i="1" s="1"/>
  <c r="EH205" i="1" s="1"/>
  <c r="DA232" i="1"/>
  <c r="DM232" i="1"/>
  <c r="DM256" i="1" s="1"/>
  <c r="DZ232" i="1"/>
  <c r="BI138" i="1"/>
  <c r="BF139" i="1"/>
  <c r="CM202" i="1"/>
  <c r="CL202" i="1" s="1"/>
  <c r="H202" i="1" s="1"/>
  <c r="FR202" i="1"/>
  <c r="DP202" i="1"/>
  <c r="CO202" i="1"/>
  <c r="EE202" i="1"/>
  <c r="DO202" i="1"/>
  <c r="EW202" i="1"/>
  <c r="FC202" i="1"/>
  <c r="CP202" i="1"/>
  <c r="FJ202" i="1"/>
  <c r="DT202" i="1"/>
  <c r="CQ202" i="1"/>
  <c r="N202" i="1" s="1"/>
  <c r="DZ202" i="1"/>
  <c r="DR202" i="1"/>
  <c r="EK202" i="1"/>
  <c r="DA202" i="1"/>
  <c r="EQ202" i="1"/>
  <c r="DE202" i="1"/>
  <c r="CJ88" i="1"/>
  <c r="L213" i="1"/>
  <c r="CM233" i="1"/>
  <c r="CL233" i="1" s="1"/>
  <c r="H233" i="1" s="1"/>
  <c r="FR233" i="1"/>
  <c r="DA233" i="1"/>
  <c r="FJ233" i="1"/>
  <c r="DO233" i="1"/>
  <c r="CP233" i="1"/>
  <c r="CQ233" i="1"/>
  <c r="N233" i="1" s="1"/>
  <c r="DT233" i="1"/>
  <c r="DZ233" i="1"/>
  <c r="DE233" i="1"/>
  <c r="DR233" i="1"/>
  <c r="EE233" i="1"/>
  <c r="DP233" i="1"/>
  <c r="CO233" i="1"/>
  <c r="EK233" i="1"/>
  <c r="EQ233" i="1"/>
  <c r="EW233" i="1"/>
  <c r="FC233" i="1"/>
  <c r="DL233" i="1"/>
  <c r="DL234" i="1" s="1"/>
  <c r="DL235" i="1" s="1"/>
  <c r="DL249" i="1" s="1"/>
  <c r="CG184" i="1"/>
  <c r="M184" i="1" s="1"/>
  <c r="EC184" i="1"/>
  <c r="DV184" i="1"/>
  <c r="DW184" i="1"/>
  <c r="EI184" i="1"/>
  <c r="FO184" i="1"/>
  <c r="EU184" i="1"/>
  <c r="FA184" i="1"/>
  <c r="FI184" i="1"/>
  <c r="FB184" i="1"/>
  <c r="EJ184" i="1"/>
  <c r="EO184" i="1"/>
  <c r="EV184" i="1"/>
  <c r="FH184" i="1"/>
  <c r="FN184" i="1"/>
  <c r="ED184" i="1"/>
  <c r="EB184" i="1"/>
  <c r="DK184" i="1"/>
  <c r="DI184" i="1"/>
  <c r="DX184" i="1"/>
  <c r="EP184" i="1"/>
  <c r="FG184" i="1"/>
  <c r="DL184" i="1"/>
  <c r="FN206" i="1"/>
  <c r="EO206" i="1"/>
  <c r="FO206" i="1"/>
  <c r="EV206" i="1"/>
  <c r="DM206" i="1"/>
  <c r="FF206" i="1"/>
  <c r="EP206" i="1"/>
  <c r="DH206" i="1"/>
  <c r="FI206" i="1"/>
  <c r="ED206" i="1"/>
  <c r="DA206" i="1"/>
  <c r="DK206" i="1"/>
  <c r="EZ206" i="1"/>
  <c r="DX206" i="1"/>
  <c r="DL206" i="1"/>
  <c r="FA206" i="1"/>
  <c r="EB206" i="1"/>
  <c r="FB206" i="1"/>
  <c r="EH206" i="1"/>
  <c r="FM206" i="1"/>
  <c r="EU206" i="1"/>
  <c r="DV206" i="1"/>
  <c r="DW206" i="1"/>
  <c r="EI206" i="1"/>
  <c r="EJ206" i="1"/>
  <c r="CG206" i="1"/>
  <c r="M206" i="1" s="1"/>
  <c r="FG206" i="1"/>
  <c r="DI206" i="1"/>
  <c r="FH206" i="1"/>
  <c r="DJ206" i="1"/>
  <c r="ET206" i="1"/>
  <c r="EN206" i="1"/>
  <c r="EC206" i="1"/>
  <c r="BI143" i="1"/>
  <c r="BF144" i="1"/>
  <c r="BI144" i="1" s="1"/>
  <c r="FR213" i="1"/>
  <c r="FO213" i="1"/>
  <c r="EO213" i="1"/>
  <c r="DH213" i="1"/>
  <c r="CG213" i="1"/>
  <c r="M213" i="1" s="1"/>
  <c r="FF213" i="1"/>
  <c r="EP213" i="1"/>
  <c r="DI213" i="1"/>
  <c r="FH213" i="1"/>
  <c r="EB213" i="1"/>
  <c r="DJ213" i="1"/>
  <c r="FI213" i="1"/>
  <c r="EC213" i="1"/>
  <c r="DL213" i="1"/>
  <c r="FB213" i="1"/>
  <c r="EH213" i="1"/>
  <c r="DK213" i="1"/>
  <c r="FG213" i="1"/>
  <c r="ED213" i="1"/>
  <c r="DM213" i="1"/>
  <c r="EZ213" i="1"/>
  <c r="DV213" i="1"/>
  <c r="FA213" i="1"/>
  <c r="EI213" i="1"/>
  <c r="ET213" i="1"/>
  <c r="DW213" i="1"/>
  <c r="EU213" i="1"/>
  <c r="EJ213" i="1"/>
  <c r="DA213" i="1"/>
  <c r="FM213" i="1"/>
  <c r="EN213" i="1"/>
  <c r="DX213" i="1"/>
  <c r="FN213" i="1"/>
  <c r="EV213" i="1"/>
  <c r="CM235" i="1"/>
  <c r="CL235" i="1" s="1"/>
  <c r="H235" i="1" s="1"/>
  <c r="FR235" i="1"/>
  <c r="DP235" i="1"/>
  <c r="CG235" i="1"/>
  <c r="M235" i="1" s="1"/>
  <c r="DR235" i="1"/>
  <c r="CP235" i="1"/>
  <c r="CQ235" i="1"/>
  <c r="N235" i="1" s="1"/>
  <c r="DZ235" i="1"/>
  <c r="DO235" i="1"/>
  <c r="EE235" i="1"/>
  <c r="EK235" i="1"/>
  <c r="EQ235" i="1"/>
  <c r="EW235" i="1"/>
  <c r="DE235" i="1"/>
  <c r="DA235" i="1"/>
  <c r="FC235" i="1"/>
  <c r="FJ235" i="1"/>
  <c r="CO235" i="1"/>
  <c r="DT235" i="1"/>
  <c r="CQ46" i="1"/>
  <c r="CN46" i="1" s="1"/>
  <c r="FF261" i="1"/>
  <c r="EH261" i="1"/>
  <c r="DH261" i="1"/>
  <c r="FB261" i="1"/>
  <c r="ED261" i="1"/>
  <c r="FA261" i="1"/>
  <c r="EC261" i="1"/>
  <c r="EZ261" i="1"/>
  <c r="EB261" i="1"/>
  <c r="EV261" i="1"/>
  <c r="DX261" i="1"/>
  <c r="EU261" i="1"/>
  <c r="DW261" i="1"/>
  <c r="DA261" i="1"/>
  <c r="FO261" i="1"/>
  <c r="ET261" i="1"/>
  <c r="DV261" i="1"/>
  <c r="FN261" i="1"/>
  <c r="EP261" i="1"/>
  <c r="DM261" i="1"/>
  <c r="FM261" i="1"/>
  <c r="EO261" i="1"/>
  <c r="DL261" i="1"/>
  <c r="FI261" i="1"/>
  <c r="EN261" i="1"/>
  <c r="DK261" i="1"/>
  <c r="FH261" i="1"/>
  <c r="EJ261" i="1"/>
  <c r="DJ261" i="1"/>
  <c r="FG261" i="1"/>
  <c r="EI261" i="1"/>
  <c r="DI261" i="1"/>
  <c r="FM262" i="1"/>
  <c r="FA262" i="1"/>
  <c r="EP262" i="1"/>
  <c r="FG262" i="1"/>
  <c r="EV262" i="1"/>
  <c r="EB262" i="1"/>
  <c r="DM262" i="1"/>
  <c r="FN262" i="1"/>
  <c r="EZ262" i="1"/>
  <c r="DL262" i="1"/>
  <c r="DA262" i="1"/>
  <c r="DK262" i="1"/>
  <c r="DX262" i="1"/>
  <c r="FI262" i="1"/>
  <c r="EJ262" i="1"/>
  <c r="DW262" i="1"/>
  <c r="DJ262" i="1"/>
  <c r="EU262" i="1"/>
  <c r="DV262" i="1"/>
  <c r="DI262" i="1"/>
  <c r="FH262" i="1"/>
  <c r="EI262" i="1"/>
  <c r="DH262" i="1"/>
  <c r="FF262" i="1"/>
  <c r="ET262" i="1"/>
  <c r="EH262" i="1"/>
  <c r="FR262" i="1"/>
  <c r="EO262" i="1"/>
  <c r="ED262" i="1"/>
  <c r="FO262" i="1"/>
  <c r="FB262" i="1"/>
  <c r="EN262" i="1"/>
  <c r="EC262" i="1"/>
  <c r="L210" i="1"/>
  <c r="DB64" i="1"/>
  <c r="DC64" i="1" s="1"/>
  <c r="CO213" i="1"/>
  <c r="FR206" i="1"/>
  <c r="CJ261" i="1"/>
  <c r="EH227" i="1"/>
  <c r="EH236" i="1" s="1"/>
  <c r="EH266" i="1" s="1"/>
  <c r="FB227" i="1"/>
  <c r="FB236" i="1" s="1"/>
  <c r="FB266" i="1" s="1"/>
  <c r="EJ227" i="1"/>
  <c r="EJ236" i="1" s="1"/>
  <c r="EJ266" i="1" s="1"/>
  <c r="DX227" i="1"/>
  <c r="DX236" i="1" s="1"/>
  <c r="DX266" i="1" s="1"/>
  <c r="EZ227" i="1"/>
  <c r="EU227" i="1"/>
  <c r="EU236" i="1" s="1"/>
  <c r="EU266" i="1" s="1"/>
  <c r="EB227" i="1"/>
  <c r="EB236" i="1" s="1"/>
  <c r="EB266" i="1" s="1"/>
  <c r="EV227" i="1"/>
  <c r="EV236" i="1" s="1"/>
  <c r="EV266" i="1" s="1"/>
  <c r="FH227" i="1"/>
  <c r="FH236" i="1" s="1"/>
  <c r="FH266" i="1" s="1"/>
  <c r="DW227" i="1"/>
  <c r="DW236" i="1" s="1"/>
  <c r="DW266" i="1" s="1"/>
  <c r="FO227" i="1"/>
  <c r="FO236" i="1" s="1"/>
  <c r="FO266" i="1" s="1"/>
  <c r="EI227" i="1"/>
  <c r="EI236" i="1" s="1"/>
  <c r="EI266" i="1" s="1"/>
  <c r="DL227" i="1"/>
  <c r="EN227" i="1"/>
  <c r="EN236" i="1" s="1"/>
  <c r="EN266" i="1" s="1"/>
  <c r="EC227" i="1"/>
  <c r="EC236" i="1" s="1"/>
  <c r="EC266" i="1" s="1"/>
  <c r="FA227" i="1"/>
  <c r="FA236" i="1" s="1"/>
  <c r="FA266" i="1" s="1"/>
  <c r="DH227" i="1"/>
  <c r="DI227" i="1"/>
  <c r="DV227" i="1"/>
  <c r="DV236" i="1" s="1"/>
  <c r="DV266" i="1" s="1"/>
  <c r="ED227" i="1"/>
  <c r="ED236" i="1" s="1"/>
  <c r="ED266" i="1" s="1"/>
  <c r="FI227" i="1"/>
  <c r="FI236" i="1" s="1"/>
  <c r="FI266" i="1" s="1"/>
  <c r="FG227" i="1"/>
  <c r="FG236" i="1" s="1"/>
  <c r="FG266" i="1" s="1"/>
  <c r="EO227" i="1"/>
  <c r="EO236" i="1" s="1"/>
  <c r="EO266" i="1" s="1"/>
  <c r="FM227" i="1"/>
  <c r="EP227" i="1"/>
  <c r="EP236" i="1" s="1"/>
  <c r="EP266" i="1" s="1"/>
  <c r="DA227" i="1"/>
  <c r="ET227" i="1"/>
  <c r="DM227" i="1"/>
  <c r="FF227" i="1"/>
  <c r="FN227" i="1"/>
  <c r="FN236" i="1" s="1"/>
  <c r="FN266" i="1" s="1"/>
  <c r="DK227" i="1"/>
  <c r="DJ227" i="1"/>
  <c r="FB187" i="1"/>
  <c r="EH187" i="1"/>
  <c r="DJ187" i="1"/>
  <c r="FH187" i="1"/>
  <c r="DV187" i="1"/>
  <c r="ET187" i="1"/>
  <c r="EP187" i="1"/>
  <c r="DL187" i="1"/>
  <c r="EU187" i="1"/>
  <c r="EB187" i="1"/>
  <c r="DK187" i="1"/>
  <c r="FG187" i="1"/>
  <c r="EI187" i="1"/>
  <c r="DH187" i="1"/>
  <c r="FI187" i="1"/>
  <c r="DA187" i="1"/>
  <c r="EZ187" i="1"/>
  <c r="FA187" i="1"/>
  <c r="EV187" i="1"/>
  <c r="EN187" i="1"/>
  <c r="EC187" i="1"/>
  <c r="FM187" i="1"/>
  <c r="EO187" i="1"/>
  <c r="DW187" i="1"/>
  <c r="ED187" i="1"/>
  <c r="FN187" i="1"/>
  <c r="DM187" i="1"/>
  <c r="FO187" i="1"/>
  <c r="EJ187" i="1"/>
  <c r="FF187" i="1"/>
  <c r="DX187" i="1"/>
  <c r="DI187" i="1"/>
  <c r="CG187" i="1"/>
  <c r="M187" i="1" s="1"/>
  <c r="FR244" i="1"/>
  <c r="FN244" i="1"/>
  <c r="FF244" i="1"/>
  <c r="EU244" i="1"/>
  <c r="DA244" i="1"/>
  <c r="FO244" i="1"/>
  <c r="EH244" i="1"/>
  <c r="FA244" i="1"/>
  <c r="EB244" i="1"/>
  <c r="DI244" i="1"/>
  <c r="EV244" i="1"/>
  <c r="EC244" i="1"/>
  <c r="DK244" i="1"/>
  <c r="EZ244" i="1"/>
  <c r="DW244" i="1"/>
  <c r="DM244" i="1"/>
  <c r="FI244" i="1"/>
  <c r="EO244" i="1"/>
  <c r="DX244" i="1"/>
  <c r="ED244" i="1"/>
  <c r="FM244" i="1"/>
  <c r="FG244" i="1"/>
  <c r="DH244" i="1"/>
  <c r="FB244" i="1"/>
  <c r="DJ244" i="1"/>
  <c r="FH244" i="1"/>
  <c r="DL244" i="1"/>
  <c r="EN244" i="1"/>
  <c r="ET244" i="1"/>
  <c r="EP244" i="1"/>
  <c r="EI244" i="1"/>
  <c r="DV244" i="1"/>
  <c r="EJ244" i="1"/>
  <c r="FF215" i="1"/>
  <c r="EZ215" i="1"/>
  <c r="EB215" i="1"/>
  <c r="FM215" i="1"/>
  <c r="DH215" i="1"/>
  <c r="ED215" i="1"/>
  <c r="ET215" i="1"/>
  <c r="EN215" i="1"/>
  <c r="CG215" i="1"/>
  <c r="M215" i="1" s="1"/>
  <c r="FB215" i="1"/>
  <c r="DV215" i="1"/>
  <c r="FO215" i="1"/>
  <c r="DA215" i="1"/>
  <c r="EH215" i="1"/>
  <c r="DK215" i="1"/>
  <c r="EJ215" i="1"/>
  <c r="DJ215" i="1"/>
  <c r="FI215" i="1"/>
  <c r="EO215" i="1"/>
  <c r="EI215" i="1"/>
  <c r="FN215" i="1"/>
  <c r="DM215" i="1"/>
  <c r="EP215" i="1"/>
  <c r="DW215" i="1"/>
  <c r="FH215" i="1"/>
  <c r="FG215" i="1"/>
  <c r="DX215" i="1"/>
  <c r="EU215" i="1"/>
  <c r="FA215" i="1"/>
  <c r="DI215" i="1"/>
  <c r="EC215" i="1"/>
  <c r="EV215" i="1"/>
  <c r="DL215" i="1"/>
  <c r="AK29" i="1"/>
  <c r="AJ30" i="1"/>
  <c r="AK30" i="1" s="1"/>
  <c r="FO210" i="1"/>
  <c r="DX210" i="1"/>
  <c r="DH210" i="1"/>
  <c r="EZ210" i="1"/>
  <c r="DV210" i="1"/>
  <c r="DL210" i="1"/>
  <c r="FA210" i="1"/>
  <c r="EI210" i="1"/>
  <c r="DI210" i="1"/>
  <c r="FI210" i="1"/>
  <c r="EJ210" i="1"/>
  <c r="DJ210" i="1"/>
  <c r="FB210" i="1"/>
  <c r="ET210" i="1"/>
  <c r="DK210" i="1"/>
  <c r="CG210" i="1"/>
  <c r="M210" i="1" s="1"/>
  <c r="EU210" i="1"/>
  <c r="EB210" i="1"/>
  <c r="DM210" i="1"/>
  <c r="EN210" i="1"/>
  <c r="EC210" i="1"/>
  <c r="FF210" i="1"/>
  <c r="EV210" i="1"/>
  <c r="ED210" i="1"/>
  <c r="FM210" i="1"/>
  <c r="EO210" i="1"/>
  <c r="DA210" i="1"/>
  <c r="FG210" i="1"/>
  <c r="EP210" i="1"/>
  <c r="FN210" i="1"/>
  <c r="DW210" i="1"/>
  <c r="FH210" i="1"/>
  <c r="EH210" i="1"/>
  <c r="FM174" i="1"/>
  <c r="DX174" i="1"/>
  <c r="DL174" i="1"/>
  <c r="FO174" i="1"/>
  <c r="EU174" i="1"/>
  <c r="ED174" i="1"/>
  <c r="FH174" i="1"/>
  <c r="DV174" i="1"/>
  <c r="DH174" i="1"/>
  <c r="FI174" i="1"/>
  <c r="DW174" i="1"/>
  <c r="CG174" i="1"/>
  <c r="M174" i="1" s="1"/>
  <c r="EJ174" i="1"/>
  <c r="FB174" i="1"/>
  <c r="ET174" i="1"/>
  <c r="EN174" i="1"/>
  <c r="EO174" i="1"/>
  <c r="EV174" i="1"/>
  <c r="EP174" i="1"/>
  <c r="DA174" i="1"/>
  <c r="EB174" i="1"/>
  <c r="DM174" i="1"/>
  <c r="DJ174" i="1"/>
  <c r="FN174" i="1"/>
  <c r="DI174" i="1"/>
  <c r="DK174" i="1"/>
  <c r="FF174" i="1"/>
  <c r="EH174" i="1"/>
  <c r="EI174" i="1"/>
  <c r="FG174" i="1"/>
  <c r="EC174" i="1"/>
  <c r="EZ174" i="1"/>
  <c r="FA174" i="1"/>
  <c r="CG264" i="1"/>
  <c r="M264" i="1" s="1"/>
  <c r="FR197" i="1"/>
  <c r="CJ247" i="1"/>
  <c r="CP150" i="1"/>
  <c r="CQ213" i="1"/>
  <c r="N213" i="1" s="1"/>
  <c r="L261" i="1"/>
  <c r="EY67" i="1"/>
  <c r="CG259" i="1"/>
  <c r="M259" i="1" s="1"/>
  <c r="DL265" i="1"/>
  <c r="FR265" i="1"/>
  <c r="EJ265" i="1"/>
  <c r="EH265" i="1"/>
  <c r="EG265" i="1" s="1"/>
  <c r="EC265" i="1"/>
  <c r="DW265" i="1"/>
  <c r="FN265" i="1"/>
  <c r="FL265" i="1" s="1"/>
  <c r="DH265" i="1"/>
  <c r="FG265" i="1"/>
  <c r="EZ265" i="1"/>
  <c r="EY265" i="1" s="1"/>
  <c r="EU265" i="1"/>
  <c r="ES265" i="1" s="1"/>
  <c r="FR225" i="1"/>
  <c r="CG225" i="1"/>
  <c r="M225" i="1" s="1"/>
  <c r="EZ225" i="1"/>
  <c r="DW225" i="1"/>
  <c r="DA225" i="1"/>
  <c r="EV225" i="1"/>
  <c r="ET225" i="1"/>
  <c r="FI225" i="1"/>
  <c r="FH225" i="1"/>
  <c r="FM225" i="1"/>
  <c r="EN225" i="1"/>
  <c r="ED225" i="1"/>
  <c r="FF225" i="1"/>
  <c r="FB225" i="1"/>
  <c r="DI225" i="1"/>
  <c r="DX225" i="1"/>
  <c r="EU225" i="1"/>
  <c r="DL225" i="1"/>
  <c r="FN225" i="1"/>
  <c r="DK225" i="1"/>
  <c r="EB225" i="1"/>
  <c r="EI225" i="1"/>
  <c r="DJ225" i="1"/>
  <c r="EH225" i="1"/>
  <c r="FA225" i="1"/>
  <c r="DV225" i="1"/>
  <c r="EP225" i="1"/>
  <c r="EO225" i="1"/>
  <c r="FO225" i="1"/>
  <c r="FG225" i="1"/>
  <c r="DM225" i="1"/>
  <c r="EC225" i="1"/>
  <c r="EJ225" i="1"/>
  <c r="DH225" i="1"/>
  <c r="FO140" i="1"/>
  <c r="FO141" i="1" s="1"/>
  <c r="DK140" i="1"/>
  <c r="DK141" i="1" s="1"/>
  <c r="EI140" i="1"/>
  <c r="EI141" i="1" s="1"/>
  <c r="EB140" i="1"/>
  <c r="EB141" i="1" s="1"/>
  <c r="ET140" i="1"/>
  <c r="DX140" i="1"/>
  <c r="DX141" i="1" s="1"/>
  <c r="FG140" i="1"/>
  <c r="FG141" i="1" s="1"/>
  <c r="FH140" i="1"/>
  <c r="FH141" i="1" s="1"/>
  <c r="EP140" i="1"/>
  <c r="EP141" i="1" s="1"/>
  <c r="DV140" i="1"/>
  <c r="DV141" i="1" s="1"/>
  <c r="EC140" i="1"/>
  <c r="EC141" i="1" s="1"/>
  <c r="DI140" i="1"/>
  <c r="DI141" i="1" s="1"/>
  <c r="DL140" i="1"/>
  <c r="DL141" i="1" s="1"/>
  <c r="DH140" i="1"/>
  <c r="FM140" i="1"/>
  <c r="EZ140" i="1"/>
  <c r="EJ140" i="1"/>
  <c r="EJ141" i="1" s="1"/>
  <c r="EO140" i="1"/>
  <c r="EO141" i="1" s="1"/>
  <c r="FI140" i="1"/>
  <c r="FI141" i="1" s="1"/>
  <c r="FA140" i="1"/>
  <c r="FA141" i="1" s="1"/>
  <c r="EU140" i="1"/>
  <c r="EU141" i="1" s="1"/>
  <c r="ED140" i="1"/>
  <c r="ED141" i="1" s="1"/>
  <c r="CG140" i="1"/>
  <c r="M140" i="1" s="1"/>
  <c r="FN140" i="1"/>
  <c r="FN141" i="1" s="1"/>
  <c r="DJ140" i="1"/>
  <c r="DJ141" i="1" s="1"/>
  <c r="FF140" i="1"/>
  <c r="EN140" i="1"/>
  <c r="DW140" i="1"/>
  <c r="DW141" i="1" s="1"/>
  <c r="EH140" i="1"/>
  <c r="EV140" i="1"/>
  <c r="EV141" i="1" s="1"/>
  <c r="FB140" i="1"/>
  <c r="FB141" i="1" s="1"/>
  <c r="FJ255" i="1"/>
  <c r="EN255" i="1"/>
  <c r="DZ255" i="1"/>
  <c r="EK255" i="1"/>
  <c r="EW255" i="1"/>
  <c r="CQ255" i="1"/>
  <c r="N255" i="1" s="1"/>
  <c r="CP255" i="1"/>
  <c r="DJ255" i="1"/>
  <c r="CO255" i="1"/>
  <c r="EQ255" i="1"/>
  <c r="EE255" i="1"/>
  <c r="DT255" i="1"/>
  <c r="FC255" i="1"/>
  <c r="DE255" i="1"/>
  <c r="DR255" i="1"/>
  <c r="EO255" i="1"/>
  <c r="DP255" i="1"/>
  <c r="DO255" i="1"/>
  <c r="DA255" i="1"/>
  <c r="CG217" i="1"/>
  <c r="M217" i="1" s="1"/>
  <c r="FF217" i="1"/>
  <c r="FI217" i="1"/>
  <c r="DX217" i="1"/>
  <c r="DH217" i="1"/>
  <c r="FA217" i="1"/>
  <c r="DV217" i="1"/>
  <c r="EV217" i="1"/>
  <c r="EU217" i="1"/>
  <c r="EB217" i="1"/>
  <c r="EJ217" i="1"/>
  <c r="DL217" i="1"/>
  <c r="EH217" i="1"/>
  <c r="FO217" i="1"/>
  <c r="DI217" i="1"/>
  <c r="EZ217" i="1"/>
  <c r="EP217" i="1"/>
  <c r="DK217" i="1"/>
  <c r="ET217" i="1"/>
  <c r="EO217" i="1"/>
  <c r="ED217" i="1"/>
  <c r="FM217" i="1"/>
  <c r="FN217" i="1"/>
  <c r="EN217" i="1"/>
  <c r="EI217" i="1"/>
  <c r="EC217" i="1"/>
  <c r="FB217" i="1"/>
  <c r="DJ217" i="1"/>
  <c r="DW217" i="1"/>
  <c r="FG217" i="1"/>
  <c r="FH217" i="1"/>
  <c r="U14" i="1"/>
  <c r="BT14" i="1" s="1"/>
  <c r="BT13" i="1"/>
  <c r="CD13" i="1" s="1"/>
  <c r="I13" i="1"/>
  <c r="J13" i="1"/>
  <c r="DM258" i="1"/>
  <c r="FI258" i="1"/>
  <c r="ED258" i="1"/>
  <c r="DK258" i="1"/>
  <c r="EV258" i="1"/>
  <c r="EH258" i="1"/>
  <c r="DH258" i="1"/>
  <c r="EN258" i="1"/>
  <c r="EI258" i="1"/>
  <c r="FO258" i="1"/>
  <c r="EO258" i="1"/>
  <c r="EJ258" i="1"/>
  <c r="FM258" i="1"/>
  <c r="EP258" i="1"/>
  <c r="DA258" i="1"/>
  <c r="EZ258" i="1"/>
  <c r="ET258" i="1"/>
  <c r="FF258" i="1"/>
  <c r="DW258" i="1"/>
  <c r="FA258" i="1"/>
  <c r="EU258" i="1"/>
  <c r="DL258" i="1"/>
  <c r="FN258" i="1"/>
  <c r="DX258" i="1"/>
  <c r="CG258" i="1"/>
  <c r="M258" i="1" s="1"/>
  <c r="FG258" i="1"/>
  <c r="EB258" i="1"/>
  <c r="DI258" i="1"/>
  <c r="FB258" i="1"/>
  <c r="EC258" i="1"/>
  <c r="DJ258" i="1"/>
  <c r="FH258" i="1"/>
  <c r="DV258" i="1"/>
  <c r="FR143" i="1"/>
  <c r="AO144" i="1"/>
  <c r="DB144" i="1" s="1"/>
  <c r="DC144" i="1" s="1"/>
  <c r="DB143" i="1"/>
  <c r="DC143" i="1" s="1"/>
  <c r="L255" i="1"/>
  <c r="U51" i="1"/>
  <c r="BT50" i="1"/>
  <c r="J50" i="1"/>
  <c r="I50" i="1"/>
  <c r="L67" i="1"/>
  <c r="FR215" i="1"/>
  <c r="ED71" i="1"/>
  <c r="L265" i="1"/>
  <c r="CP259" i="1"/>
  <c r="CJ71" i="1"/>
  <c r="FN240" i="1"/>
  <c r="FN241" i="1" s="1"/>
  <c r="FI240" i="1"/>
  <c r="FI241" i="1" s="1"/>
  <c r="DX240" i="1"/>
  <c r="DX241" i="1" s="1"/>
  <c r="DA240" i="1"/>
  <c r="FH240" i="1"/>
  <c r="FH241" i="1" s="1"/>
  <c r="EU240" i="1"/>
  <c r="EU241" i="1" s="1"/>
  <c r="EB240" i="1"/>
  <c r="EB241" i="1" s="1"/>
  <c r="DL240" i="1"/>
  <c r="DL241" i="1" s="1"/>
  <c r="EC240" i="1"/>
  <c r="EC241" i="1" s="1"/>
  <c r="DI240" i="1"/>
  <c r="DI241" i="1" s="1"/>
  <c r="FM240" i="1"/>
  <c r="EN240" i="1"/>
  <c r="EN241" i="1" s="1"/>
  <c r="DJ240" i="1"/>
  <c r="DJ241" i="1" s="1"/>
  <c r="ET240" i="1"/>
  <c r="ED240" i="1"/>
  <c r="ED241" i="1" s="1"/>
  <c r="FO240" i="1"/>
  <c r="FO241" i="1" s="1"/>
  <c r="EO240" i="1"/>
  <c r="EO241" i="1" s="1"/>
  <c r="EJ240" i="1"/>
  <c r="EJ241" i="1" s="1"/>
  <c r="DK240" i="1"/>
  <c r="DK241" i="1" s="1"/>
  <c r="DH240" i="1"/>
  <c r="DM240" i="1"/>
  <c r="DM241" i="1" s="1"/>
  <c r="FF240" i="1"/>
  <c r="EH240" i="1"/>
  <c r="EH241" i="1" s="1"/>
  <c r="FG240" i="1"/>
  <c r="FG241" i="1" s="1"/>
  <c r="EP240" i="1"/>
  <c r="EP241" i="1" s="1"/>
  <c r="DW240" i="1"/>
  <c r="DW241" i="1" s="1"/>
  <c r="EZ240" i="1"/>
  <c r="EI240" i="1"/>
  <c r="EI241" i="1" s="1"/>
  <c r="FA240" i="1"/>
  <c r="FA241" i="1" s="1"/>
  <c r="EV240" i="1"/>
  <c r="EV241" i="1" s="1"/>
  <c r="DV240" i="1"/>
  <c r="DV241" i="1" s="1"/>
  <c r="FB240" i="1"/>
  <c r="FB241" i="1" s="1"/>
  <c r="EZ39" i="1"/>
  <c r="DW39" i="1"/>
  <c r="EU39" i="1"/>
  <c r="ED39" i="1"/>
  <c r="DA39" i="1"/>
  <c r="DH39" i="1"/>
  <c r="FN39" i="1"/>
  <c r="EV39" i="1"/>
  <c r="EN39" i="1"/>
  <c r="DI39" i="1"/>
  <c r="FF39" i="1"/>
  <c r="FM39" i="1"/>
  <c r="EI39" i="1"/>
  <c r="EH39" i="1"/>
  <c r="DV39" i="1"/>
  <c r="DJ39" i="1"/>
  <c r="EJ39" i="1"/>
  <c r="DK39" i="1"/>
  <c r="FO39" i="1"/>
  <c r="DX39" i="1"/>
  <c r="DL39" i="1"/>
  <c r="FH39" i="1"/>
  <c r="EB39" i="1"/>
  <c r="DM39" i="1"/>
  <c r="FI39" i="1"/>
  <c r="EC39" i="1"/>
  <c r="FG39" i="1"/>
  <c r="FA39" i="1"/>
  <c r="FB39" i="1"/>
  <c r="ET39" i="1"/>
  <c r="EO39" i="1"/>
  <c r="EP39" i="1"/>
  <c r="EZ137" i="1"/>
  <c r="ED137" i="1"/>
  <c r="DI137" i="1"/>
  <c r="FA137" i="1"/>
  <c r="EI137" i="1"/>
  <c r="DJ137" i="1"/>
  <c r="FB137" i="1"/>
  <c r="EJ137" i="1"/>
  <c r="DM137" i="1"/>
  <c r="ET137" i="1"/>
  <c r="DV137" i="1"/>
  <c r="DK137" i="1"/>
  <c r="EU137" i="1"/>
  <c r="DW137" i="1"/>
  <c r="DL137" i="1"/>
  <c r="FM137" i="1"/>
  <c r="EV137" i="1"/>
  <c r="DX137" i="1"/>
  <c r="FO137" i="1"/>
  <c r="EN137" i="1"/>
  <c r="FN137" i="1"/>
  <c r="EO137" i="1"/>
  <c r="CG137" i="1"/>
  <c r="M137" i="1" s="1"/>
  <c r="FF137" i="1"/>
  <c r="EP137" i="1"/>
  <c r="DA137" i="1"/>
  <c r="FG137" i="1"/>
  <c r="EB137" i="1"/>
  <c r="FH137" i="1"/>
  <c r="EC137" i="1"/>
  <c r="DH137" i="1"/>
  <c r="FI137" i="1"/>
  <c r="EH137" i="1"/>
  <c r="FC230" i="1"/>
  <c r="EE230" i="1"/>
  <c r="CO230" i="1"/>
  <c r="CM230" i="1"/>
  <c r="CL230" i="1" s="1"/>
  <c r="H230" i="1" s="1"/>
  <c r="L70" i="1"/>
  <c r="FF208" i="1"/>
  <c r="EJ208" i="1"/>
  <c r="EJ209" i="1" s="1"/>
  <c r="ED208" i="1"/>
  <c r="ED209" i="1" s="1"/>
  <c r="FG208" i="1"/>
  <c r="FG209" i="1" s="1"/>
  <c r="FI208" i="1"/>
  <c r="FI209" i="1" s="1"/>
  <c r="DI208" i="1"/>
  <c r="EI208" i="1"/>
  <c r="EI209" i="1" s="1"/>
  <c r="DX208" i="1"/>
  <c r="DX209" i="1" s="1"/>
  <c r="EN208" i="1"/>
  <c r="DK208" i="1"/>
  <c r="FN208" i="1"/>
  <c r="FN209" i="1" s="1"/>
  <c r="EV208" i="1"/>
  <c r="EV209" i="1" s="1"/>
  <c r="DV208" i="1"/>
  <c r="DV209" i="1" s="1"/>
  <c r="FO208" i="1"/>
  <c r="FO209" i="1" s="1"/>
  <c r="DL208" i="1"/>
  <c r="EZ208" i="1"/>
  <c r="EZ209" i="1" s="1"/>
  <c r="EO208" i="1"/>
  <c r="EO209" i="1" s="1"/>
  <c r="EC208" i="1"/>
  <c r="EC209" i="1" s="1"/>
  <c r="FB208" i="1"/>
  <c r="FB209" i="1" s="1"/>
  <c r="DW208" i="1"/>
  <c r="DW209" i="1" s="1"/>
  <c r="FM208" i="1"/>
  <c r="FH208" i="1"/>
  <c r="FH209" i="1" s="1"/>
  <c r="EH208" i="1"/>
  <c r="EH209" i="1" s="1"/>
  <c r="DH208" i="1"/>
  <c r="CG208" i="1"/>
  <c r="M208" i="1" s="1"/>
  <c r="FA208" i="1"/>
  <c r="ET208" i="1"/>
  <c r="ET209" i="1" s="1"/>
  <c r="EU208" i="1"/>
  <c r="EP208" i="1"/>
  <c r="EP209" i="1" s="1"/>
  <c r="EB208" i="1"/>
  <c r="EB209" i="1" s="1"/>
  <c r="DJ208" i="1"/>
  <c r="FR257" i="1"/>
  <c r="FF257" i="1"/>
  <c r="EV257" i="1"/>
  <c r="EZ257" i="1"/>
  <c r="EB257" i="1"/>
  <c r="DK257" i="1"/>
  <c r="FG257" i="1"/>
  <c r="EC257" i="1"/>
  <c r="FA257" i="1"/>
  <c r="ED257" i="1"/>
  <c r="DJ257" i="1"/>
  <c r="FH257" i="1"/>
  <c r="EH257" i="1"/>
  <c r="FB257" i="1"/>
  <c r="EI257" i="1"/>
  <c r="FI257" i="1"/>
  <c r="EJ257" i="1"/>
  <c r="DI257" i="1"/>
  <c r="EN257" i="1"/>
  <c r="DV257" i="1"/>
  <c r="DH257" i="1"/>
  <c r="EO257" i="1"/>
  <c r="DW257" i="1"/>
  <c r="FM257" i="1"/>
  <c r="EP257" i="1"/>
  <c r="DX257" i="1"/>
  <c r="FN257" i="1"/>
  <c r="ET257" i="1"/>
  <c r="DL257" i="1"/>
  <c r="DA257" i="1"/>
  <c r="FO257" i="1"/>
  <c r="EU257" i="1"/>
  <c r="DM257" i="1"/>
  <c r="DH46" i="1"/>
  <c r="FR142" i="1"/>
  <c r="L248" i="1"/>
  <c r="L230" i="1"/>
  <c r="CJ265" i="1"/>
  <c r="CG244" i="1"/>
  <c r="M244" i="1" s="1"/>
  <c r="FH150" i="1"/>
  <c r="EV150" i="1"/>
  <c r="FI150" i="1"/>
  <c r="DI150" i="1"/>
  <c r="EI150" i="1"/>
  <c r="EJ150" i="1"/>
  <c r="DK150" i="1"/>
  <c r="DL150" i="1"/>
  <c r="FA150" i="1"/>
  <c r="DW150" i="1"/>
  <c r="FB150" i="1"/>
  <c r="DX150" i="1"/>
  <c r="EO150" i="1"/>
  <c r="EC150" i="1"/>
  <c r="FO150" i="1"/>
  <c r="ED150" i="1"/>
  <c r="FN150" i="1"/>
  <c r="EP150" i="1"/>
  <c r="FG150" i="1"/>
  <c r="EU150" i="1"/>
  <c r="CG150" i="1"/>
  <c r="M150" i="1" s="1"/>
  <c r="CQ104" i="1"/>
  <c r="CN104" i="1" s="1"/>
  <c r="FR104" i="1"/>
  <c r="FG104" i="1"/>
  <c r="EO104" i="1"/>
  <c r="DJ104" i="1"/>
  <c r="FH104" i="1"/>
  <c r="EJ104" i="1"/>
  <c r="FI104" i="1"/>
  <c r="EP104" i="1"/>
  <c r="EZ104" i="1"/>
  <c r="DV104" i="1"/>
  <c r="ET104" i="1"/>
  <c r="DW104" i="1"/>
  <c r="FA104" i="1"/>
  <c r="DX104" i="1"/>
  <c r="EU104" i="1"/>
  <c r="EB104" i="1"/>
  <c r="DH104" i="1"/>
  <c r="FM104" i="1"/>
  <c r="FB104" i="1"/>
  <c r="EC104" i="1"/>
  <c r="FN104" i="1"/>
  <c r="EV104" i="1"/>
  <c r="ED104" i="1"/>
  <c r="FO104" i="1"/>
  <c r="EH104" i="1"/>
  <c r="EN104" i="1"/>
  <c r="DI104" i="1"/>
  <c r="FF104" i="1"/>
  <c r="EI104" i="1"/>
  <c r="DM104" i="1"/>
  <c r="DA104" i="1"/>
  <c r="CG104" i="1"/>
  <c r="M104" i="1" s="1"/>
  <c r="DL104" i="1"/>
  <c r="DK104" i="1"/>
  <c r="BS167" i="1"/>
  <c r="T168" i="1"/>
  <c r="J168" i="1" s="1"/>
  <c r="BR167" i="1"/>
  <c r="J167" i="1"/>
  <c r="I167" i="1"/>
  <c r="FR271" i="1"/>
  <c r="L146" i="1"/>
  <c r="BI156" i="1"/>
  <c r="BF157" i="1"/>
  <c r="DA143" i="1"/>
  <c r="EN143" i="1"/>
  <c r="EH143" i="1"/>
  <c r="EH144" i="1" s="1"/>
  <c r="EB143" i="1"/>
  <c r="EB144" i="1" s="1"/>
  <c r="FF143" i="1"/>
  <c r="FF144" i="1" s="1"/>
  <c r="DH143" i="1"/>
  <c r="FB143" i="1"/>
  <c r="DW143" i="1"/>
  <c r="DW144" i="1" s="1"/>
  <c r="DV143" i="1"/>
  <c r="DV144" i="1" s="1"/>
  <c r="EZ143" i="1"/>
  <c r="FO143" i="1"/>
  <c r="FO144" i="1" s="1"/>
  <c r="EV143" i="1"/>
  <c r="EV144" i="1" s="1"/>
  <c r="EI143" i="1"/>
  <c r="DK143" i="1"/>
  <c r="FM143" i="1"/>
  <c r="FM144" i="1" s="1"/>
  <c r="ET143" i="1"/>
  <c r="ET144" i="1" s="1"/>
  <c r="FH143" i="1"/>
  <c r="FH144" i="1" s="1"/>
  <c r="DX143" i="1"/>
  <c r="FG143" i="1"/>
  <c r="EP143" i="1"/>
  <c r="EP144" i="1" s="1"/>
  <c r="EC143" i="1"/>
  <c r="EC144" i="1" s="1"/>
  <c r="DI143" i="1"/>
  <c r="DL143" i="1"/>
  <c r="DL144" i="1" s="1"/>
  <c r="FI143" i="1"/>
  <c r="FI144" i="1" s="1"/>
  <c r="EU143" i="1"/>
  <c r="EJ143" i="1"/>
  <c r="EO143" i="1"/>
  <c r="ED143" i="1"/>
  <c r="ED144" i="1" s="1"/>
  <c r="DM143" i="1"/>
  <c r="DM144" i="1" s="1"/>
  <c r="FA143" i="1"/>
  <c r="DJ143" i="1"/>
  <c r="DJ144" i="1" s="1"/>
  <c r="FN143" i="1"/>
  <c r="FN144" i="1" s="1"/>
  <c r="CP16" i="1"/>
  <c r="FR16" i="1"/>
  <c r="FH16" i="1"/>
  <c r="EJ16" i="1"/>
  <c r="EV16" i="1"/>
  <c r="EC16" i="1"/>
  <c r="DA16" i="1"/>
  <c r="FF16" i="1"/>
  <c r="EP16" i="1"/>
  <c r="FG16" i="1"/>
  <c r="EI16" i="1"/>
  <c r="FM16" i="1"/>
  <c r="DI16" i="1"/>
  <c r="DW16" i="1"/>
  <c r="DJ16" i="1"/>
  <c r="EB16" i="1"/>
  <c r="EZ16" i="1"/>
  <c r="DX16" i="1"/>
  <c r="FA16" i="1"/>
  <c r="ED16" i="1"/>
  <c r="CG16" i="1"/>
  <c r="M16" i="1" s="1"/>
  <c r="DK16" i="1"/>
  <c r="ET16" i="1"/>
  <c r="FB16" i="1"/>
  <c r="EU16" i="1"/>
  <c r="DM16" i="1"/>
  <c r="DL16" i="1"/>
  <c r="EN16" i="1"/>
  <c r="DH16" i="1"/>
  <c r="EO16" i="1"/>
  <c r="EH16" i="1"/>
  <c r="FI16" i="1"/>
  <c r="DV16" i="1"/>
  <c r="FN16" i="1"/>
  <c r="FO16" i="1"/>
  <c r="FM114" i="1"/>
  <c r="FG114" i="1"/>
  <c r="DX114" i="1"/>
  <c r="CG114" i="1"/>
  <c r="M114" i="1" s="1"/>
  <c r="FN114" i="1"/>
  <c r="EN114" i="1"/>
  <c r="DA114" i="1"/>
  <c r="FO114" i="1"/>
  <c r="EH114" i="1"/>
  <c r="FH114" i="1"/>
  <c r="EI114" i="1"/>
  <c r="DL114" i="1"/>
  <c r="FI114" i="1"/>
  <c r="EP114" i="1"/>
  <c r="ET114" i="1"/>
  <c r="EJ114" i="1"/>
  <c r="DI114" i="1"/>
  <c r="EU114" i="1"/>
  <c r="EC114" i="1"/>
  <c r="DH114" i="1"/>
  <c r="EV114" i="1"/>
  <c r="EB114" i="1"/>
  <c r="FA114" i="1"/>
  <c r="DV114" i="1"/>
  <c r="ED114" i="1"/>
  <c r="DK114" i="1"/>
  <c r="DW114" i="1"/>
  <c r="DM114" i="1"/>
  <c r="FF114" i="1"/>
  <c r="EZ114" i="1"/>
  <c r="FB114" i="1"/>
  <c r="EO114" i="1"/>
  <c r="DJ114" i="1"/>
  <c r="FF264" i="1"/>
  <c r="EV264" i="1"/>
  <c r="EB264" i="1"/>
  <c r="FH264" i="1"/>
  <c r="DJ264" i="1"/>
  <c r="FN264" i="1"/>
  <c r="EJ264" i="1"/>
  <c r="DA264" i="1"/>
  <c r="FM264" i="1"/>
  <c r="EI264" i="1"/>
  <c r="FI264" i="1"/>
  <c r="EH264" i="1"/>
  <c r="FG264" i="1"/>
  <c r="ED264" i="1"/>
  <c r="FB264" i="1"/>
  <c r="EC264" i="1"/>
  <c r="FA264" i="1"/>
  <c r="DX264" i="1"/>
  <c r="EZ264" i="1"/>
  <c r="DW264" i="1"/>
  <c r="EU264" i="1"/>
  <c r="DV264" i="1"/>
  <c r="ET264" i="1"/>
  <c r="DL264" i="1"/>
  <c r="EP264" i="1"/>
  <c r="DK264" i="1"/>
  <c r="EO264" i="1"/>
  <c r="DI264" i="1"/>
  <c r="FO264" i="1"/>
  <c r="EN264" i="1"/>
  <c r="DH264" i="1"/>
  <c r="BF107" i="1"/>
  <c r="BI107" i="1" s="1"/>
  <c r="BI106" i="1"/>
  <c r="FM183" i="1"/>
  <c r="EI183" i="1"/>
  <c r="DM183" i="1"/>
  <c r="FA183" i="1"/>
  <c r="DV183" i="1"/>
  <c r="DK183" i="1"/>
  <c r="FB183" i="1"/>
  <c r="EB183" i="1"/>
  <c r="FH183" i="1"/>
  <c r="EN183" i="1"/>
  <c r="FO183" i="1"/>
  <c r="DX183" i="1"/>
  <c r="EZ183" i="1"/>
  <c r="EP183" i="1"/>
  <c r="ET183" i="1"/>
  <c r="EU183" i="1"/>
  <c r="DA183" i="1"/>
  <c r="EV183" i="1"/>
  <c r="DL183" i="1"/>
  <c r="EC183" i="1"/>
  <c r="DH183" i="1"/>
  <c r="EJ183" i="1"/>
  <c r="DI183" i="1"/>
  <c r="FF183" i="1"/>
  <c r="ED183" i="1"/>
  <c r="DJ183" i="1"/>
  <c r="FG183" i="1"/>
  <c r="EH183" i="1"/>
  <c r="FI183" i="1"/>
  <c r="EO183" i="1"/>
  <c r="FN183" i="1"/>
  <c r="DW183" i="1"/>
  <c r="FR114" i="1"/>
  <c r="CG202" i="1"/>
  <c r="M202" i="1" s="1"/>
  <c r="BF234" i="1"/>
  <c r="BI233" i="1"/>
  <c r="BU162" i="1"/>
  <c r="CD162" i="1" s="1"/>
  <c r="I162" i="1"/>
  <c r="J162" i="1"/>
  <c r="FO175" i="1"/>
  <c r="EU175" i="1"/>
  <c r="DX175" i="1"/>
  <c r="FG175" i="1"/>
  <c r="EN175" i="1"/>
  <c r="FN175" i="1"/>
  <c r="EJ175" i="1"/>
  <c r="EZ175" i="1"/>
  <c r="EH175" i="1"/>
  <c r="FF175" i="1"/>
  <c r="EB175" i="1"/>
  <c r="EP175" i="1"/>
  <c r="DV175" i="1"/>
  <c r="EV175" i="1"/>
  <c r="DK175" i="1"/>
  <c r="FM175" i="1"/>
  <c r="DW175" i="1"/>
  <c r="DL175" i="1"/>
  <c r="FH175" i="1"/>
  <c r="DH175" i="1"/>
  <c r="FI175" i="1"/>
  <c r="DI175" i="1"/>
  <c r="FA175" i="1"/>
  <c r="DJ175" i="1"/>
  <c r="FB175" i="1"/>
  <c r="ET175" i="1"/>
  <c r="EI175" i="1"/>
  <c r="EC175" i="1"/>
  <c r="ED175" i="1"/>
  <c r="EO175" i="1"/>
  <c r="CG175" i="1"/>
  <c r="M175" i="1" s="1"/>
  <c r="FR35" i="1"/>
  <c r="FB35" i="1"/>
  <c r="EC35" i="1"/>
  <c r="FF35" i="1"/>
  <c r="EI35" i="1"/>
  <c r="EZ35" i="1"/>
  <c r="DX35" i="1"/>
  <c r="FA35" i="1"/>
  <c r="EB35" i="1"/>
  <c r="DV35" i="1"/>
  <c r="FO35" i="1"/>
  <c r="DW35" i="1"/>
  <c r="EJ35" i="1"/>
  <c r="FI35" i="1"/>
  <c r="EN35" i="1"/>
  <c r="FG35" i="1"/>
  <c r="ED35" i="1"/>
  <c r="DJ35" i="1"/>
  <c r="FH35" i="1"/>
  <c r="DK35" i="1"/>
  <c r="DL35" i="1"/>
  <c r="EO35" i="1"/>
  <c r="DH35" i="1"/>
  <c r="EV35" i="1"/>
  <c r="ET35" i="1"/>
  <c r="CG35" i="1"/>
  <c r="M35" i="1" s="1"/>
  <c r="DI35" i="1"/>
  <c r="EP35" i="1"/>
  <c r="EU35" i="1"/>
  <c r="EH35" i="1"/>
  <c r="FM35" i="1"/>
  <c r="FN35" i="1"/>
  <c r="CG102" i="1"/>
  <c r="M102" i="1" s="1"/>
  <c r="EC102" i="1"/>
  <c r="EC23" i="1" s="1"/>
  <c r="EO102" i="1"/>
  <c r="EO23" i="1" s="1"/>
  <c r="FB102" i="1"/>
  <c r="FB23" i="1" s="1"/>
  <c r="FN102" i="1"/>
  <c r="FN23" i="1" s="1"/>
  <c r="DI102" i="1"/>
  <c r="ED102" i="1"/>
  <c r="ED23" i="1" s="1"/>
  <c r="DL102" i="1"/>
  <c r="EP102" i="1"/>
  <c r="EP23" i="1" s="1"/>
  <c r="FH102" i="1"/>
  <c r="FH23" i="1" s="1"/>
  <c r="FG102" i="1"/>
  <c r="FG23" i="1" s="1"/>
  <c r="EI102" i="1"/>
  <c r="EI23" i="1" s="1"/>
  <c r="FI102" i="1"/>
  <c r="FI23" i="1" s="1"/>
  <c r="EJ102" i="1"/>
  <c r="EJ23" i="1" s="1"/>
  <c r="DK102" i="1"/>
  <c r="FO102" i="1"/>
  <c r="FO23" i="1" s="1"/>
  <c r="EV102" i="1"/>
  <c r="EV23" i="1" s="1"/>
  <c r="EU102" i="1"/>
  <c r="FA102" i="1"/>
  <c r="FA23" i="1" s="1"/>
  <c r="DW102" i="1"/>
  <c r="DW23" i="1" s="1"/>
  <c r="DX102" i="1"/>
  <c r="DX23" i="1" s="1"/>
  <c r="CP46" i="1"/>
  <c r="DW46" i="1"/>
  <c r="FR46" i="1"/>
  <c r="DA46" i="1"/>
  <c r="CG46" i="1"/>
  <c r="M46" i="1" s="1"/>
  <c r="FH122" i="1"/>
  <c r="FH123" i="1" s="1"/>
  <c r="EI122" i="1"/>
  <c r="EI123" i="1" s="1"/>
  <c r="FI122" i="1"/>
  <c r="FI123" i="1" s="1"/>
  <c r="EN122" i="1"/>
  <c r="EJ122" i="1"/>
  <c r="EJ123" i="1" s="1"/>
  <c r="DA122" i="1"/>
  <c r="EZ122" i="1"/>
  <c r="EO122" i="1"/>
  <c r="EO123" i="1" s="1"/>
  <c r="ET122" i="1"/>
  <c r="EP122" i="1"/>
  <c r="EP123" i="1" s="1"/>
  <c r="FM122" i="1"/>
  <c r="FA122" i="1"/>
  <c r="FA123" i="1" s="1"/>
  <c r="EB122" i="1"/>
  <c r="EB123" i="1" s="1"/>
  <c r="FN122" i="1"/>
  <c r="FN123" i="1" s="1"/>
  <c r="DV122" i="1"/>
  <c r="DV123" i="1" s="1"/>
  <c r="EU122" i="1"/>
  <c r="EU123" i="1" s="1"/>
  <c r="EC122" i="1"/>
  <c r="EC123" i="1" s="1"/>
  <c r="FO122" i="1"/>
  <c r="FO123" i="1" s="1"/>
  <c r="FB122" i="1"/>
  <c r="FB123" i="1" s="1"/>
  <c r="DW122" i="1"/>
  <c r="DW123" i="1" s="1"/>
  <c r="FF122" i="1"/>
  <c r="ED122" i="1"/>
  <c r="ED123" i="1" s="1"/>
  <c r="EV122" i="1"/>
  <c r="EV123" i="1" s="1"/>
  <c r="DX122" i="1"/>
  <c r="DX123" i="1" s="1"/>
  <c r="FG122" i="1"/>
  <c r="FG123" i="1" s="1"/>
  <c r="EH122" i="1"/>
  <c r="DH122" i="1"/>
  <c r="DI122" i="1"/>
  <c r="DJ122" i="1"/>
  <c r="DK122" i="1"/>
  <c r="DL122" i="1"/>
  <c r="DM122" i="1"/>
  <c r="FR122" i="1"/>
  <c r="FF189" i="1"/>
  <c r="EV189" i="1"/>
  <c r="ED189" i="1"/>
  <c r="FH189" i="1"/>
  <c r="EN189" i="1"/>
  <c r="FI189" i="1"/>
  <c r="EO189" i="1"/>
  <c r="FM189" i="1"/>
  <c r="EP189" i="1"/>
  <c r="DL189" i="1"/>
  <c r="FN189" i="1"/>
  <c r="DW189" i="1"/>
  <c r="DH189" i="1"/>
  <c r="FO189" i="1"/>
  <c r="DX189" i="1"/>
  <c r="DI189" i="1"/>
  <c r="FG189" i="1"/>
  <c r="EH189" i="1"/>
  <c r="DJ189" i="1"/>
  <c r="EZ189" i="1"/>
  <c r="DV189" i="1"/>
  <c r="DK189" i="1"/>
  <c r="FA189" i="1"/>
  <c r="EI189" i="1"/>
  <c r="FB189" i="1"/>
  <c r="EB189" i="1"/>
  <c r="ET189" i="1"/>
  <c r="EJ189" i="1"/>
  <c r="EU189" i="1"/>
  <c r="EC189" i="1"/>
  <c r="CG179" i="1"/>
  <c r="M179" i="1" s="1"/>
  <c r="DB117" i="1"/>
  <c r="DC117" i="1" s="1"/>
  <c r="CQ122" i="1"/>
  <c r="N122" i="1" s="1"/>
  <c r="CP143" i="1"/>
  <c r="CQ16" i="1"/>
  <c r="N16" i="1" s="1"/>
  <c r="CO35" i="1"/>
  <c r="CQ179" i="1"/>
  <c r="CQ189" i="1"/>
  <c r="CN189" i="1" s="1"/>
  <c r="CQ206" i="1"/>
  <c r="CN206" i="1" s="1"/>
  <c r="CO271" i="1"/>
  <c r="CQ261" i="1"/>
  <c r="N261" i="1" s="1"/>
  <c r="CO262" i="1"/>
  <c r="FB101" i="1"/>
  <c r="DK101" i="1"/>
  <c r="CG101" i="1"/>
  <c r="M101" i="1" s="1"/>
  <c r="FG101" i="1"/>
  <c r="FN101" i="1"/>
  <c r="DX101" i="1"/>
  <c r="EV101" i="1"/>
  <c r="EC101" i="1"/>
  <c r="DW101" i="1"/>
  <c r="EP101" i="1"/>
  <c r="DL101" i="1"/>
  <c r="FA101" i="1"/>
  <c r="EU101" i="1"/>
  <c r="DI101" i="1"/>
  <c r="EO101" i="1"/>
  <c r="EJ101" i="1"/>
  <c r="ET101" i="1"/>
  <c r="FO101" i="1"/>
  <c r="FI101" i="1"/>
  <c r="EI101" i="1"/>
  <c r="FH101" i="1"/>
  <c r="ED101" i="1"/>
  <c r="FR165" i="1"/>
  <c r="FH165" i="1"/>
  <c r="EJ165" i="1"/>
  <c r="DA165" i="1"/>
  <c r="FG165" i="1"/>
  <c r="EV165" i="1"/>
  <c r="FA165" i="1"/>
  <c r="EI165" i="1"/>
  <c r="DL165" i="1"/>
  <c r="FB165" i="1"/>
  <c r="DV165" i="1"/>
  <c r="DJ165" i="1"/>
  <c r="EN165" i="1"/>
  <c r="ET165" i="1"/>
  <c r="EU165" i="1"/>
  <c r="EC165" i="1"/>
  <c r="FO165" i="1"/>
  <c r="FM165" i="1"/>
  <c r="ED165" i="1"/>
  <c r="EH165" i="1"/>
  <c r="DI165" i="1"/>
  <c r="FF165" i="1"/>
  <c r="FI165" i="1"/>
  <c r="EB165" i="1"/>
  <c r="DM165" i="1"/>
  <c r="DW165" i="1"/>
  <c r="DK165" i="1"/>
  <c r="DX165" i="1"/>
  <c r="DH165" i="1"/>
  <c r="FN165" i="1"/>
  <c r="EZ165" i="1"/>
  <c r="EY165" i="1" s="1"/>
  <c r="EO165" i="1"/>
  <c r="EP165" i="1"/>
  <c r="FG177" i="1"/>
  <c r="EO177" i="1"/>
  <c r="DX177" i="1"/>
  <c r="FB177" i="1"/>
  <c r="EU177" i="1"/>
  <c r="EV177" i="1"/>
  <c r="EI177" i="1"/>
  <c r="FI177" i="1"/>
  <c r="FF177" i="1"/>
  <c r="DJ177" i="1"/>
  <c r="EC177" i="1"/>
  <c r="DV177" i="1"/>
  <c r="DL177" i="1"/>
  <c r="EZ177" i="1"/>
  <c r="FN177" i="1"/>
  <c r="EB177" i="1"/>
  <c r="DI177" i="1"/>
  <c r="FH177" i="1"/>
  <c r="EH177" i="1"/>
  <c r="EG177" i="1" s="1"/>
  <c r="FA177" i="1"/>
  <c r="ET177" i="1"/>
  <c r="ED177" i="1"/>
  <c r="FM177" i="1"/>
  <c r="EN177" i="1"/>
  <c r="FO177" i="1"/>
  <c r="DH177" i="1"/>
  <c r="EP177" i="1"/>
  <c r="EJ177" i="1"/>
  <c r="DW177" i="1"/>
  <c r="DK177" i="1"/>
  <c r="FI190" i="1"/>
  <c r="DV190" i="1"/>
  <c r="DL190" i="1"/>
  <c r="FH190" i="1"/>
  <c r="DW190" i="1"/>
  <c r="DK190" i="1"/>
  <c r="FM190" i="1"/>
  <c r="DX190" i="1"/>
  <c r="EZ190" i="1"/>
  <c r="EH190" i="1"/>
  <c r="FA190" i="1"/>
  <c r="EI190" i="1"/>
  <c r="FB190" i="1"/>
  <c r="EB190" i="1"/>
  <c r="ET190" i="1"/>
  <c r="EJ190" i="1"/>
  <c r="EU190" i="1"/>
  <c r="EC190" i="1"/>
  <c r="FN190" i="1"/>
  <c r="EV190" i="1"/>
  <c r="ED190" i="1"/>
  <c r="FO190" i="1"/>
  <c r="EN190" i="1"/>
  <c r="DH190" i="1"/>
  <c r="FF190" i="1"/>
  <c r="EO190" i="1"/>
  <c r="DI190" i="1"/>
  <c r="FG190" i="1"/>
  <c r="EP190" i="1"/>
  <c r="DJ190" i="1"/>
  <c r="ET98" i="1"/>
  <c r="DV98" i="1"/>
  <c r="FN98" i="1"/>
  <c r="EN98" i="1"/>
  <c r="DL98" i="1"/>
  <c r="FH98" i="1"/>
  <c r="EI98" i="1"/>
  <c r="CG98" i="1"/>
  <c r="M98" i="1" s="1"/>
  <c r="FI98" i="1"/>
  <c r="EJ98" i="1"/>
  <c r="DH98" i="1"/>
  <c r="FB98" i="1"/>
  <c r="DI98" i="1"/>
  <c r="DM98" i="1"/>
  <c r="DJ98" i="1"/>
  <c r="EH98" i="1"/>
  <c r="DK98" i="1"/>
  <c r="EO98" i="1"/>
  <c r="EP98" i="1"/>
  <c r="FM98" i="1"/>
  <c r="EB98" i="1"/>
  <c r="FO98" i="1"/>
  <c r="DW98" i="1"/>
  <c r="FF98" i="1"/>
  <c r="ED98" i="1"/>
  <c r="FA98" i="1"/>
  <c r="EC98" i="1"/>
  <c r="DX98" i="1"/>
  <c r="EZ98" i="1"/>
  <c r="FG98" i="1"/>
  <c r="EU98" i="1"/>
  <c r="EV98" i="1"/>
  <c r="DA98" i="1"/>
  <c r="FF148" i="1"/>
  <c r="EB148" i="1"/>
  <c r="FG148" i="1"/>
  <c r="EV148" i="1"/>
  <c r="FO148" i="1"/>
  <c r="EC148" i="1"/>
  <c r="FI148" i="1"/>
  <c r="ED148" i="1"/>
  <c r="FA148" i="1"/>
  <c r="EH148" i="1"/>
  <c r="FB148" i="1"/>
  <c r="EI148" i="1"/>
  <c r="FH148" i="1"/>
  <c r="EJ148" i="1"/>
  <c r="DI148" i="1"/>
  <c r="EN148" i="1"/>
  <c r="DV148" i="1"/>
  <c r="DA148" i="1"/>
  <c r="DJ148" i="1"/>
  <c r="EO148" i="1"/>
  <c r="DW148" i="1"/>
  <c r="DK148" i="1"/>
  <c r="EP148" i="1"/>
  <c r="EZ148" i="1"/>
  <c r="DL148" i="1"/>
  <c r="FM148" i="1"/>
  <c r="ET148" i="1"/>
  <c r="DX148" i="1"/>
  <c r="DM148" i="1"/>
  <c r="CG148" i="1"/>
  <c r="M148" i="1" s="1"/>
  <c r="FN148" i="1"/>
  <c r="EU148" i="1"/>
  <c r="DH148" i="1"/>
  <c r="FM48" i="1"/>
  <c r="EV48" i="1"/>
  <c r="EC48" i="1"/>
  <c r="FI48" i="1"/>
  <c r="EH48" i="1"/>
  <c r="DK48" i="1"/>
  <c r="ET48" i="1"/>
  <c r="DX48" i="1"/>
  <c r="EU48" i="1"/>
  <c r="EB48" i="1"/>
  <c r="EI48" i="1"/>
  <c r="EN48" i="1"/>
  <c r="DJ48" i="1"/>
  <c r="EO48" i="1"/>
  <c r="CG48" i="1"/>
  <c r="M48" i="1" s="1"/>
  <c r="FN48" i="1"/>
  <c r="EP48" i="1"/>
  <c r="DI48" i="1"/>
  <c r="FO48" i="1"/>
  <c r="ED48" i="1"/>
  <c r="DL48" i="1"/>
  <c r="FG48" i="1"/>
  <c r="FF48" i="1"/>
  <c r="DV48" i="1"/>
  <c r="DW48" i="1"/>
  <c r="FH48" i="1"/>
  <c r="EZ48" i="1"/>
  <c r="FA48" i="1"/>
  <c r="FB48" i="1"/>
  <c r="DA48" i="1"/>
  <c r="DM48" i="1"/>
  <c r="EJ48" i="1"/>
  <c r="DH48" i="1"/>
  <c r="FR182" i="1"/>
  <c r="FO182" i="1"/>
  <c r="EP182" i="1"/>
  <c r="FI182" i="1"/>
  <c r="EI182" i="1"/>
  <c r="FB182" i="1"/>
  <c r="EB182" i="1"/>
  <c r="DL182" i="1"/>
  <c r="FN182" i="1"/>
  <c r="EO182" i="1"/>
  <c r="FG182" i="1"/>
  <c r="ED182" i="1"/>
  <c r="FA182" i="1"/>
  <c r="ET182" i="1"/>
  <c r="DH182" i="1"/>
  <c r="EU182" i="1"/>
  <c r="DA182" i="1"/>
  <c r="DI182" i="1"/>
  <c r="EV182" i="1"/>
  <c r="DJ182" i="1"/>
  <c r="EN182" i="1"/>
  <c r="DM182" i="1"/>
  <c r="DV182" i="1"/>
  <c r="DK182" i="1"/>
  <c r="DW182" i="1"/>
  <c r="FH182" i="1"/>
  <c r="DX182" i="1"/>
  <c r="FM182" i="1"/>
  <c r="EH182" i="1"/>
  <c r="FF182" i="1"/>
  <c r="EJ182" i="1"/>
  <c r="EZ182" i="1"/>
  <c r="EC182" i="1"/>
  <c r="L78" i="1"/>
  <c r="L254" i="1"/>
  <c r="FR259" i="1"/>
  <c r="AK171" i="1"/>
  <c r="AJ172" i="1"/>
  <c r="AK172" i="1" s="1"/>
  <c r="CG254" i="1"/>
  <c r="M254" i="1" s="1"/>
  <c r="CJ264" i="1"/>
  <c r="L148" i="1"/>
  <c r="FN95" i="1"/>
  <c r="EZ95" i="1"/>
  <c r="FI95" i="1"/>
  <c r="FF95" i="1"/>
  <c r="EI95" i="1"/>
  <c r="EC95" i="1"/>
  <c r="FO95" i="1"/>
  <c r="FB95" i="1"/>
  <c r="CO95" i="1"/>
  <c r="EU95" i="1"/>
  <c r="EN95" i="1"/>
  <c r="DX95" i="1"/>
  <c r="EB95" i="1"/>
  <c r="FA95" i="1"/>
  <c r="ET95" i="1"/>
  <c r="EP95" i="1"/>
  <c r="DW95" i="1"/>
  <c r="CP95" i="1"/>
  <c r="FR95" i="1"/>
  <c r="FG95" i="1"/>
  <c r="FH95" i="1"/>
  <c r="DL95" i="1"/>
  <c r="EH95" i="1"/>
  <c r="DH95" i="1"/>
  <c r="DK95" i="1"/>
  <c r="CG95" i="1"/>
  <c r="M95" i="1" s="1"/>
  <c r="EO95" i="1"/>
  <c r="CQ95" i="1"/>
  <c r="N95" i="1" s="1"/>
  <c r="DA95" i="1"/>
  <c r="FM95" i="1"/>
  <c r="DV95" i="1"/>
  <c r="DJ95" i="1"/>
  <c r="ED95" i="1"/>
  <c r="DM95" i="1"/>
  <c r="DI95" i="1"/>
  <c r="EV95" i="1"/>
  <c r="EJ95" i="1"/>
  <c r="AJ51" i="1"/>
  <c r="AK50" i="1"/>
  <c r="CP111" i="1"/>
  <c r="CQ111" i="1"/>
  <c r="N111" i="1" s="1"/>
  <c r="CO111" i="1"/>
  <c r="FR111" i="1"/>
  <c r="EN111" i="1"/>
  <c r="EJ111" i="1"/>
  <c r="EB111" i="1"/>
  <c r="FM111" i="1"/>
  <c r="EH111" i="1"/>
  <c r="EO111" i="1"/>
  <c r="DL111" i="1"/>
  <c r="EZ111" i="1"/>
  <c r="FN111" i="1"/>
  <c r="EP111" i="1"/>
  <c r="FB111" i="1"/>
  <c r="DX111" i="1"/>
  <c r="ET111" i="1"/>
  <c r="DM111" i="1"/>
  <c r="FF111" i="1"/>
  <c r="FO111" i="1"/>
  <c r="DJ111" i="1"/>
  <c r="FA111" i="1"/>
  <c r="DW111" i="1"/>
  <c r="DV111" i="1"/>
  <c r="DK111" i="1"/>
  <c r="CG111" i="1"/>
  <c r="M111" i="1" s="1"/>
  <c r="ED111" i="1"/>
  <c r="FG111" i="1"/>
  <c r="EC111" i="1"/>
  <c r="EV111" i="1"/>
  <c r="FH111" i="1"/>
  <c r="FI111" i="1"/>
  <c r="EI111" i="1"/>
  <c r="DH111" i="1"/>
  <c r="DI111" i="1"/>
  <c r="EU111" i="1"/>
  <c r="DA111" i="1"/>
  <c r="L82" i="1"/>
  <c r="DP92" i="1"/>
  <c r="EK92" i="1"/>
  <c r="DO92" i="1"/>
  <c r="FC92" i="1"/>
  <c r="DA92" i="1"/>
  <c r="DZ92" i="1"/>
  <c r="DE92" i="1"/>
  <c r="CQ92" i="1"/>
  <c r="N92" i="1" s="1"/>
  <c r="FJ92" i="1"/>
  <c r="EQ92" i="1"/>
  <c r="CP92" i="1"/>
  <c r="DT92" i="1"/>
  <c r="CO92" i="1"/>
  <c r="CG92" i="1"/>
  <c r="M92" i="1" s="1"/>
  <c r="FR92" i="1"/>
  <c r="DR92" i="1"/>
  <c r="CM92" i="1"/>
  <c r="CL92" i="1" s="1"/>
  <c r="H92" i="1" s="1"/>
  <c r="EW92" i="1"/>
  <c r="EE92" i="1"/>
  <c r="BS63" i="1"/>
  <c r="BO63" i="1"/>
  <c r="I63" i="1"/>
  <c r="J63" i="1"/>
  <c r="DB71" i="1"/>
  <c r="DC71" i="1" s="1"/>
  <c r="FC73" i="1"/>
  <c r="DR73" i="1"/>
  <c r="DP73" i="1"/>
  <c r="CQ73" i="1"/>
  <c r="N73" i="1" s="1"/>
  <c r="EW73" i="1"/>
  <c r="CO73" i="1"/>
  <c r="EQ73" i="1"/>
  <c r="DE73" i="1"/>
  <c r="CM73" i="1"/>
  <c r="CL73" i="1" s="1"/>
  <c r="H73" i="1" s="1"/>
  <c r="FR73" i="1"/>
  <c r="EK73" i="1"/>
  <c r="EE73" i="1"/>
  <c r="DZ73" i="1"/>
  <c r="DA73" i="1"/>
  <c r="DT73" i="1"/>
  <c r="FJ73" i="1"/>
  <c r="CG73" i="1"/>
  <c r="M73" i="1" s="1"/>
  <c r="DO73" i="1"/>
  <c r="CP73" i="1"/>
  <c r="EU61" i="1"/>
  <c r="EU145" i="1"/>
  <c r="EV61" i="1"/>
  <c r="EV145" i="1"/>
  <c r="CQ13" i="1"/>
  <c r="N13" i="1" s="1"/>
  <c r="DA13" i="1"/>
  <c r="DH13" i="1"/>
  <c r="CQ129" i="1"/>
  <c r="N129" i="1" s="1"/>
  <c r="CO129" i="1"/>
  <c r="CP129" i="1"/>
  <c r="FR129" i="1"/>
  <c r="FI129" i="1"/>
  <c r="EH129" i="1"/>
  <c r="ET129" i="1"/>
  <c r="EI129" i="1"/>
  <c r="EU129" i="1"/>
  <c r="EJ129" i="1"/>
  <c r="DI129" i="1"/>
  <c r="EZ129" i="1"/>
  <c r="EB129" i="1"/>
  <c r="EV129" i="1"/>
  <c r="EC129" i="1"/>
  <c r="DK129" i="1"/>
  <c r="FA129" i="1"/>
  <c r="ED129" i="1"/>
  <c r="FN129" i="1"/>
  <c r="FB129" i="1"/>
  <c r="DV129" i="1"/>
  <c r="DA129" i="1"/>
  <c r="DM129" i="1"/>
  <c r="FM129" i="1"/>
  <c r="EN129" i="1"/>
  <c r="DH129" i="1"/>
  <c r="FF129" i="1"/>
  <c r="EO129" i="1"/>
  <c r="FO129" i="1"/>
  <c r="EP129" i="1"/>
  <c r="CG129" i="1"/>
  <c r="M129" i="1" s="1"/>
  <c r="FG129" i="1"/>
  <c r="DX129" i="1"/>
  <c r="DW129" i="1"/>
  <c r="DJ129" i="1"/>
  <c r="DL129" i="1"/>
  <c r="FH129" i="1"/>
  <c r="CP49" i="1"/>
  <c r="DH49" i="1"/>
  <c r="FA49" i="1"/>
  <c r="DV49" i="1"/>
  <c r="DW49" i="1"/>
  <c r="FO49" i="1"/>
  <c r="FG49" i="1"/>
  <c r="FI49" i="1"/>
  <c r="DA49" i="1"/>
  <c r="CM144" i="1"/>
  <c r="CL144" i="1" s="1"/>
  <c r="H144" i="1" s="1"/>
  <c r="FR144" i="1"/>
  <c r="DE144" i="1"/>
  <c r="CG144" i="1"/>
  <c r="M144" i="1" s="1"/>
  <c r="EE144" i="1"/>
  <c r="DZ144" i="1"/>
  <c r="CP144" i="1"/>
  <c r="EW144" i="1"/>
  <c r="CQ144" i="1"/>
  <c r="N144" i="1" s="1"/>
  <c r="EK144" i="1"/>
  <c r="DA144" i="1"/>
  <c r="DT144" i="1"/>
  <c r="FC144" i="1"/>
  <c r="DO144" i="1"/>
  <c r="DR144" i="1"/>
  <c r="FJ144" i="1"/>
  <c r="EN144" i="1"/>
  <c r="CO144" i="1"/>
  <c r="FG144" i="1"/>
  <c r="FA144" i="1"/>
  <c r="EQ144" i="1"/>
  <c r="FB144" i="1"/>
  <c r="EU144" i="1"/>
  <c r="DP144" i="1"/>
  <c r="EJ144" i="1"/>
  <c r="DH144" i="1"/>
  <c r="EI144" i="1"/>
  <c r="EZ144" i="1"/>
  <c r="DI144" i="1"/>
  <c r="DK144" i="1"/>
  <c r="DX144" i="1"/>
  <c r="CO134" i="1"/>
  <c r="CP134" i="1"/>
  <c r="CQ134" i="1"/>
  <c r="N134" i="1" s="1"/>
  <c r="FR134" i="1"/>
  <c r="FM134" i="1"/>
  <c r="FO134" i="1"/>
  <c r="FB134" i="1"/>
  <c r="EP134" i="1"/>
  <c r="EI134" i="1"/>
  <c r="DL134" i="1"/>
  <c r="DA134" i="1"/>
  <c r="FG134" i="1"/>
  <c r="FF134" i="1"/>
  <c r="DW134" i="1"/>
  <c r="EC134" i="1"/>
  <c r="DM134" i="1"/>
  <c r="ET134" i="1"/>
  <c r="DJ134" i="1"/>
  <c r="FH134" i="1"/>
  <c r="EU134" i="1"/>
  <c r="DX134" i="1"/>
  <c r="EJ134" i="1"/>
  <c r="CG134" i="1"/>
  <c r="M134" i="1" s="1"/>
  <c r="FI134" i="1"/>
  <c r="DH134" i="1"/>
  <c r="EV134" i="1"/>
  <c r="DV134" i="1"/>
  <c r="ED134" i="1"/>
  <c r="DK134" i="1"/>
  <c r="FN134" i="1"/>
  <c r="DI134" i="1"/>
  <c r="EN134" i="1"/>
  <c r="EH134" i="1"/>
  <c r="EG134" i="1" s="1"/>
  <c r="EZ134" i="1"/>
  <c r="FA134" i="1"/>
  <c r="EB134" i="1"/>
  <c r="EO134" i="1"/>
  <c r="CQ170" i="1"/>
  <c r="N170" i="1" s="1"/>
  <c r="CO170" i="1"/>
  <c r="CP170" i="1"/>
  <c r="FR170" i="1"/>
  <c r="FG170" i="1"/>
  <c r="EP170" i="1"/>
  <c r="DH170" i="1"/>
  <c r="FI170" i="1"/>
  <c r="EV170" i="1"/>
  <c r="DL170" i="1"/>
  <c r="FO170" i="1"/>
  <c r="EC170" i="1"/>
  <c r="DI170" i="1"/>
  <c r="EZ170" i="1"/>
  <c r="ED170" i="1"/>
  <c r="FA170" i="1"/>
  <c r="EB170" i="1"/>
  <c r="FF170" i="1"/>
  <c r="EH170" i="1"/>
  <c r="FB170" i="1"/>
  <c r="DV170" i="1"/>
  <c r="FH170" i="1"/>
  <c r="EI170" i="1"/>
  <c r="DJ170" i="1"/>
  <c r="EN170" i="1"/>
  <c r="DW170" i="1"/>
  <c r="DA170" i="1"/>
  <c r="ET170" i="1"/>
  <c r="EJ170" i="1"/>
  <c r="DK170" i="1"/>
  <c r="FN170" i="1"/>
  <c r="EO170" i="1"/>
  <c r="DX170" i="1"/>
  <c r="CG170" i="1"/>
  <c r="M170" i="1" s="1"/>
  <c r="DM170" i="1"/>
  <c r="FM170" i="1"/>
  <c r="EU170" i="1"/>
  <c r="BI269" i="1"/>
  <c r="BF270" i="1"/>
  <c r="AO208" i="1"/>
  <c r="FR207" i="1"/>
  <c r="DB207" i="1"/>
  <c r="DC207" i="1" s="1"/>
  <c r="DM207" i="1"/>
  <c r="DA207" i="1"/>
  <c r="AO139" i="1"/>
  <c r="DB138" i="1"/>
  <c r="DC138" i="1" s="1"/>
  <c r="AK200" i="1"/>
  <c r="AJ201" i="1"/>
  <c r="CJ92" i="1"/>
  <c r="DB92" i="1"/>
  <c r="DC92" i="1" s="1"/>
  <c r="FH71" i="1"/>
  <c r="FG61" i="1"/>
  <c r="FG145" i="1"/>
  <c r="L116" i="1"/>
  <c r="CJ116" i="1"/>
  <c r="CI116" i="1"/>
  <c r="CF116" i="1"/>
  <c r="CH116" i="1"/>
  <c r="CR116" i="1" s="1"/>
  <c r="K116" i="1"/>
  <c r="BI34" i="1"/>
  <c r="BF35" i="1"/>
  <c r="CQ120" i="1"/>
  <c r="N120" i="1" s="1"/>
  <c r="CO120" i="1"/>
  <c r="CP120" i="1"/>
  <c r="FR120" i="1"/>
  <c r="FG120" i="1"/>
  <c r="DW120" i="1"/>
  <c r="DL120" i="1"/>
  <c r="EZ120" i="1"/>
  <c r="ED120" i="1"/>
  <c r="DI120" i="1"/>
  <c r="FA120" i="1"/>
  <c r="DX120" i="1"/>
  <c r="DK120" i="1"/>
  <c r="FH120" i="1"/>
  <c r="EH120" i="1"/>
  <c r="DH120" i="1"/>
  <c r="FB120" i="1"/>
  <c r="EI120" i="1"/>
  <c r="CG120" i="1"/>
  <c r="M120" i="1" s="1"/>
  <c r="ET120" i="1"/>
  <c r="EJ120" i="1"/>
  <c r="EU120" i="1"/>
  <c r="DV120" i="1"/>
  <c r="FN120" i="1"/>
  <c r="EV120" i="1"/>
  <c r="EB120" i="1"/>
  <c r="FM120" i="1"/>
  <c r="EN120" i="1"/>
  <c r="FI120" i="1"/>
  <c r="EO120" i="1"/>
  <c r="DJ120" i="1"/>
  <c r="FO120" i="1"/>
  <c r="EP120" i="1"/>
  <c r="DA120" i="1"/>
  <c r="DM120" i="1"/>
  <c r="FF120" i="1"/>
  <c r="EC120" i="1"/>
  <c r="CQ45" i="1"/>
  <c r="N45" i="1" s="1"/>
  <c r="CO45" i="1"/>
  <c r="CP45" i="1"/>
  <c r="FR45" i="1"/>
  <c r="CG45" i="1"/>
  <c r="M45" i="1" s="1"/>
  <c r="DW45" i="1"/>
  <c r="EI45" i="1"/>
  <c r="EH45" i="1"/>
  <c r="EP45" i="1"/>
  <c r="EU45" i="1"/>
  <c r="FN45" i="1"/>
  <c r="DH45" i="1"/>
  <c r="FG45" i="1"/>
  <c r="FH45" i="1"/>
  <c r="DJ45" i="1"/>
  <c r="FI45" i="1"/>
  <c r="DI45" i="1"/>
  <c r="EV45" i="1"/>
  <c r="DL45" i="1"/>
  <c r="FO45" i="1"/>
  <c r="FM45" i="1"/>
  <c r="FB45" i="1"/>
  <c r="EN45" i="1"/>
  <c r="DM45" i="1"/>
  <c r="FA45" i="1"/>
  <c r="EB45" i="1"/>
  <c r="DA45" i="1"/>
  <c r="EC45" i="1"/>
  <c r="ET45" i="1"/>
  <c r="ED45" i="1"/>
  <c r="DV45" i="1"/>
  <c r="DK45" i="1"/>
  <c r="DX45" i="1"/>
  <c r="FF45" i="1"/>
  <c r="EZ45" i="1"/>
  <c r="EJ45" i="1"/>
  <c r="EO45" i="1"/>
  <c r="BT168" i="1"/>
  <c r="I168" i="1"/>
  <c r="CP216" i="1"/>
  <c r="CQ216" i="1"/>
  <c r="CN216" i="1" s="1"/>
  <c r="CO216" i="1"/>
  <c r="FR216" i="1"/>
  <c r="CG216" i="1"/>
  <c r="M216" i="1" s="1"/>
  <c r="EN216" i="1"/>
  <c r="FO216" i="1"/>
  <c r="ED216" i="1"/>
  <c r="EB216" i="1"/>
  <c r="EC216" i="1"/>
  <c r="FA216" i="1"/>
  <c r="DH216" i="1"/>
  <c r="FF216" i="1"/>
  <c r="FB216" i="1"/>
  <c r="EU216" i="1"/>
  <c r="EZ216" i="1"/>
  <c r="DW216" i="1"/>
  <c r="EI216" i="1"/>
  <c r="DV216" i="1"/>
  <c r="EJ216" i="1"/>
  <c r="FN216" i="1"/>
  <c r="DL216" i="1"/>
  <c r="EH216" i="1"/>
  <c r="DX216" i="1"/>
  <c r="ET216" i="1"/>
  <c r="DK216" i="1"/>
  <c r="FM216" i="1"/>
  <c r="FG216" i="1"/>
  <c r="EV216" i="1"/>
  <c r="DA216" i="1"/>
  <c r="EP216" i="1"/>
  <c r="EO216" i="1"/>
  <c r="FH216" i="1"/>
  <c r="DM216" i="1"/>
  <c r="DI216" i="1"/>
  <c r="DJ216" i="1"/>
  <c r="FI216" i="1"/>
  <c r="CQ242" i="1"/>
  <c r="N242" i="1" s="1"/>
  <c r="CO242" i="1"/>
  <c r="CP242" i="1"/>
  <c r="FR242" i="1"/>
  <c r="FH242" i="1"/>
  <c r="FH243" i="1" s="1"/>
  <c r="ET242" i="1"/>
  <c r="DV242" i="1"/>
  <c r="DV243" i="1" s="1"/>
  <c r="DA242" i="1"/>
  <c r="FI242" i="1"/>
  <c r="FI243" i="1" s="1"/>
  <c r="EP242" i="1"/>
  <c r="EP243" i="1" s="1"/>
  <c r="DM242" i="1"/>
  <c r="DM243" i="1" s="1"/>
  <c r="DW242" i="1"/>
  <c r="DW243" i="1" s="1"/>
  <c r="FM242" i="1"/>
  <c r="EZ242" i="1"/>
  <c r="EU242" i="1"/>
  <c r="EU243" i="1" s="1"/>
  <c r="DI242" i="1"/>
  <c r="DI243" i="1" s="1"/>
  <c r="FF242" i="1"/>
  <c r="FA242" i="1"/>
  <c r="FA243" i="1" s="1"/>
  <c r="DX242" i="1"/>
  <c r="DX243" i="1" s="1"/>
  <c r="CG242" i="1"/>
  <c r="M242" i="1" s="1"/>
  <c r="FN242" i="1"/>
  <c r="FN243" i="1" s="1"/>
  <c r="EV242" i="1"/>
  <c r="EV243" i="1" s="1"/>
  <c r="DJ242" i="1"/>
  <c r="DJ243" i="1" s="1"/>
  <c r="FB242" i="1"/>
  <c r="FB243" i="1" s="1"/>
  <c r="EB242" i="1"/>
  <c r="EB243" i="1" s="1"/>
  <c r="FG242" i="1"/>
  <c r="FG243" i="1" s="1"/>
  <c r="EH242" i="1"/>
  <c r="EH243" i="1" s="1"/>
  <c r="DH242" i="1"/>
  <c r="EN242" i="1"/>
  <c r="EC242" i="1"/>
  <c r="EC243" i="1" s="1"/>
  <c r="DK242" i="1"/>
  <c r="DK243" i="1" s="1"/>
  <c r="FO242" i="1"/>
  <c r="FO243" i="1" s="1"/>
  <c r="EI242" i="1"/>
  <c r="EI243" i="1" s="1"/>
  <c r="EO242" i="1"/>
  <c r="EO243" i="1" s="1"/>
  <c r="EJ242" i="1"/>
  <c r="EJ243" i="1" s="1"/>
  <c r="ED242" i="1"/>
  <c r="ED243" i="1" s="1"/>
  <c r="DL242" i="1"/>
  <c r="DL243" i="1" s="1"/>
  <c r="CQ109" i="1"/>
  <c r="N109" i="1" s="1"/>
  <c r="CO109" i="1"/>
  <c r="CP109" i="1"/>
  <c r="FR109" i="1"/>
  <c r="EO109" i="1"/>
  <c r="DI109" i="1"/>
  <c r="ED109" i="1"/>
  <c r="DV109" i="1"/>
  <c r="DK109" i="1"/>
  <c r="EP109" i="1"/>
  <c r="DH109" i="1"/>
  <c r="DM109" i="1"/>
  <c r="EI109" i="1"/>
  <c r="FM109" i="1"/>
  <c r="EH109" i="1"/>
  <c r="DJ109" i="1"/>
  <c r="EV109" i="1"/>
  <c r="FI109" i="1"/>
  <c r="FO109" i="1"/>
  <c r="DX109" i="1"/>
  <c r="CG109" i="1"/>
  <c r="M109" i="1" s="1"/>
  <c r="ET109" i="1"/>
  <c r="EZ109" i="1"/>
  <c r="DL109" i="1"/>
  <c r="FF109" i="1"/>
  <c r="EJ109" i="1"/>
  <c r="EC109" i="1"/>
  <c r="FH109" i="1"/>
  <c r="FN109" i="1"/>
  <c r="EB109" i="1"/>
  <c r="DW109" i="1"/>
  <c r="EU109" i="1"/>
  <c r="FG109" i="1"/>
  <c r="EN109" i="1"/>
  <c r="FA109" i="1"/>
  <c r="DA109" i="1"/>
  <c r="FB109" i="1"/>
  <c r="CQ214" i="1"/>
  <c r="N214" i="1" s="1"/>
  <c r="CO214" i="1"/>
  <c r="CP214" i="1"/>
  <c r="FR214" i="1"/>
  <c r="FO214" i="1"/>
  <c r="DX214" i="1"/>
  <c r="FF214" i="1"/>
  <c r="EI214" i="1"/>
  <c r="FB214" i="1"/>
  <c r="EB214" i="1"/>
  <c r="FI214" i="1"/>
  <c r="EH214" i="1"/>
  <c r="EV214" i="1"/>
  <c r="ED214" i="1"/>
  <c r="FM214" i="1"/>
  <c r="ET214" i="1"/>
  <c r="EJ214" i="1"/>
  <c r="EN214" i="1"/>
  <c r="EU214" i="1"/>
  <c r="EC214" i="1"/>
  <c r="DV214" i="1"/>
  <c r="DM214" i="1"/>
  <c r="CG214" i="1"/>
  <c r="M214" i="1" s="1"/>
  <c r="FH214" i="1"/>
  <c r="DW214" i="1"/>
  <c r="DI214" i="1"/>
  <c r="FN214" i="1"/>
  <c r="DA214" i="1"/>
  <c r="DH214" i="1"/>
  <c r="EZ214" i="1"/>
  <c r="DJ214" i="1"/>
  <c r="FA214" i="1"/>
  <c r="DK214" i="1"/>
  <c r="FG214" i="1"/>
  <c r="DL214" i="1"/>
  <c r="EO214" i="1"/>
  <c r="EP214" i="1"/>
  <c r="L83" i="1"/>
  <c r="EV94" i="1"/>
  <c r="EO94" i="1"/>
  <c r="FI94" i="1"/>
  <c r="EC94" i="1"/>
  <c r="DM94" i="1"/>
  <c r="DJ94" i="1"/>
  <c r="FO94" i="1"/>
  <c r="FB94" i="1"/>
  <c r="EU94" i="1"/>
  <c r="EN94" i="1"/>
  <c r="DX94" i="1"/>
  <c r="FM94" i="1"/>
  <c r="FH94" i="1"/>
  <c r="EH94" i="1"/>
  <c r="FA94" i="1"/>
  <c r="ET94" i="1"/>
  <c r="EP94" i="1"/>
  <c r="DW94" i="1"/>
  <c r="FG94" i="1"/>
  <c r="EJ94" i="1"/>
  <c r="FN94" i="1"/>
  <c r="EZ94" i="1"/>
  <c r="FF94" i="1"/>
  <c r="EI94" i="1"/>
  <c r="DH94" i="1"/>
  <c r="CO94" i="1"/>
  <c r="DK94" i="1"/>
  <c r="FR94" i="1"/>
  <c r="CQ94" i="1"/>
  <c r="N94" i="1" s="1"/>
  <c r="CP94" i="1"/>
  <c r="DV94" i="1"/>
  <c r="ED94" i="1"/>
  <c r="CG94" i="1"/>
  <c r="M94" i="1" s="1"/>
  <c r="DA94" i="1"/>
  <c r="EB94" i="1"/>
  <c r="DI94" i="1"/>
  <c r="DL94" i="1"/>
  <c r="EC145" i="1"/>
  <c r="EI78" i="1"/>
  <c r="EV78" i="1"/>
  <c r="DM78" i="1"/>
  <c r="FM78" i="1"/>
  <c r="DA78" i="1"/>
  <c r="EJ78" i="1"/>
  <c r="EZ78" i="1"/>
  <c r="FN78" i="1"/>
  <c r="CQ78" i="1"/>
  <c r="N78" i="1" s="1"/>
  <c r="DV78" i="1"/>
  <c r="FA78" i="1"/>
  <c r="DW78" i="1"/>
  <c r="EN78" i="1"/>
  <c r="FO78" i="1"/>
  <c r="DH78" i="1"/>
  <c r="DX78" i="1"/>
  <c r="EO78" i="1"/>
  <c r="FB78" i="1"/>
  <c r="DI78" i="1"/>
  <c r="FR78" i="1"/>
  <c r="DJ78" i="1"/>
  <c r="EB78" i="1"/>
  <c r="EP78" i="1"/>
  <c r="FF78" i="1"/>
  <c r="CO78" i="1"/>
  <c r="CG78" i="1"/>
  <c r="M78" i="1" s="1"/>
  <c r="DK78" i="1"/>
  <c r="EC78" i="1"/>
  <c r="FG78" i="1"/>
  <c r="CP78" i="1"/>
  <c r="ED78" i="1"/>
  <c r="ET78" i="1"/>
  <c r="FH78" i="1"/>
  <c r="DL78" i="1"/>
  <c r="EU78" i="1"/>
  <c r="EH78" i="1"/>
  <c r="FI78" i="1"/>
  <c r="FI62" i="1"/>
  <c r="FH62" i="1"/>
  <c r="CQ62" i="1"/>
  <c r="N62" i="1" s="1"/>
  <c r="CP125" i="1"/>
  <c r="CQ125" i="1"/>
  <c r="N125" i="1" s="1"/>
  <c r="CO125" i="1"/>
  <c r="FR125" i="1"/>
  <c r="ET125" i="1"/>
  <c r="DX125" i="1"/>
  <c r="EU125" i="1"/>
  <c r="FH125" i="1"/>
  <c r="EV125" i="1"/>
  <c r="EH125" i="1"/>
  <c r="DA125" i="1"/>
  <c r="FA125" i="1"/>
  <c r="EI125" i="1"/>
  <c r="DH125" i="1"/>
  <c r="FN125" i="1"/>
  <c r="EO125" i="1"/>
  <c r="DJ125" i="1"/>
  <c r="FO125" i="1"/>
  <c r="EP125" i="1"/>
  <c r="DK125" i="1"/>
  <c r="FG125" i="1"/>
  <c r="DV125" i="1"/>
  <c r="DM125" i="1"/>
  <c r="FI125" i="1"/>
  <c r="ED125" i="1"/>
  <c r="EB125" i="1"/>
  <c r="EJ125" i="1"/>
  <c r="FM125" i="1"/>
  <c r="FF125" i="1"/>
  <c r="FB125" i="1"/>
  <c r="DI125" i="1"/>
  <c r="EZ125" i="1"/>
  <c r="DL125" i="1"/>
  <c r="EN125" i="1"/>
  <c r="EC125" i="1"/>
  <c r="CG125" i="1"/>
  <c r="M125" i="1" s="1"/>
  <c r="DW125" i="1"/>
  <c r="CP226" i="1"/>
  <c r="CQ226" i="1"/>
  <c r="N226" i="1" s="1"/>
  <c r="CO226" i="1"/>
  <c r="FR226" i="1"/>
  <c r="FG226" i="1"/>
  <c r="EV226" i="1"/>
  <c r="DM226" i="1"/>
  <c r="DL226" i="1"/>
  <c r="CG226" i="1"/>
  <c r="M226" i="1" s="1"/>
  <c r="FH226" i="1"/>
  <c r="EH226" i="1"/>
  <c r="DA226" i="1"/>
  <c r="FI226" i="1"/>
  <c r="EI226" i="1"/>
  <c r="FF226" i="1"/>
  <c r="EJ226" i="1"/>
  <c r="EZ226" i="1"/>
  <c r="EB226" i="1"/>
  <c r="FA226" i="1"/>
  <c r="EC226" i="1"/>
  <c r="FB226" i="1"/>
  <c r="ED226" i="1"/>
  <c r="DJ226" i="1"/>
  <c r="EN226" i="1"/>
  <c r="DV226" i="1"/>
  <c r="EO226" i="1"/>
  <c r="DW226" i="1"/>
  <c r="FM226" i="1"/>
  <c r="EP226" i="1"/>
  <c r="DX226" i="1"/>
  <c r="DK226" i="1"/>
  <c r="FN226" i="1"/>
  <c r="ET226" i="1"/>
  <c r="DH226" i="1"/>
  <c r="DI226" i="1"/>
  <c r="FO226" i="1"/>
  <c r="EU226" i="1"/>
  <c r="AK183" i="1"/>
  <c r="AJ184" i="1"/>
  <c r="CO162" i="1"/>
  <c r="CP162" i="1"/>
  <c r="CQ162" i="1"/>
  <c r="N162" i="1" s="1"/>
  <c r="EV162" i="1"/>
  <c r="EB162" i="1"/>
  <c r="DL162" i="1"/>
  <c r="DL164" i="1" s="1"/>
  <c r="EN162" i="1"/>
  <c r="EU162" i="1"/>
  <c r="EC162" i="1"/>
  <c r="DH162" i="1"/>
  <c r="FN162" i="1"/>
  <c r="EO162" i="1"/>
  <c r="ED162" i="1"/>
  <c r="FF162" i="1"/>
  <c r="EP162" i="1"/>
  <c r="DW162" i="1"/>
  <c r="DI162" i="1"/>
  <c r="DI164" i="1" s="1"/>
  <c r="FH162" i="1"/>
  <c r="FB162" i="1"/>
  <c r="DV162" i="1"/>
  <c r="FI162" i="1"/>
  <c r="ET162" i="1"/>
  <c r="DJ162" i="1"/>
  <c r="DJ164" i="1" s="1"/>
  <c r="FM162" i="1"/>
  <c r="EH162" i="1"/>
  <c r="FO162" i="1"/>
  <c r="DK162" i="1"/>
  <c r="DK164" i="1" s="1"/>
  <c r="FG162" i="1"/>
  <c r="DX162" i="1"/>
  <c r="EZ162" i="1"/>
  <c r="EI162" i="1"/>
  <c r="FA162" i="1"/>
  <c r="EJ162" i="1"/>
  <c r="FH252" i="1"/>
  <c r="ET252" i="1"/>
  <c r="DK252" i="1"/>
  <c r="FR252" i="1"/>
  <c r="FF252" i="1"/>
  <c r="EC252" i="1"/>
  <c r="DI252" i="1"/>
  <c r="FO252" i="1"/>
  <c r="EP252" i="1"/>
  <c r="EB252" i="1"/>
  <c r="DH252" i="1"/>
  <c r="CG252" i="1"/>
  <c r="M252" i="1" s="1"/>
  <c r="CQ252" i="1"/>
  <c r="N252" i="1" s="1"/>
  <c r="FM252" i="1"/>
  <c r="FB252" i="1"/>
  <c r="EN252" i="1"/>
  <c r="DX252" i="1"/>
  <c r="FA252" i="1"/>
  <c r="DW252" i="1"/>
  <c r="DA252" i="1"/>
  <c r="EZ252" i="1"/>
  <c r="DV252" i="1"/>
  <c r="CO252" i="1"/>
  <c r="CP252" i="1"/>
  <c r="EI252" i="1"/>
  <c r="FI252" i="1"/>
  <c r="EU252" i="1"/>
  <c r="DL252" i="1"/>
  <c r="EV252" i="1"/>
  <c r="EO252" i="1"/>
  <c r="EJ252" i="1"/>
  <c r="EH252" i="1"/>
  <c r="ED252" i="1"/>
  <c r="FN252" i="1"/>
  <c r="DM252" i="1"/>
  <c r="FG252" i="1"/>
  <c r="DJ252" i="1"/>
  <c r="FR175" i="1"/>
  <c r="AO176" i="1"/>
  <c r="DB175" i="1"/>
  <c r="DC175" i="1" s="1"/>
  <c r="DA175" i="1"/>
  <c r="DM175" i="1"/>
  <c r="BF201" i="1"/>
  <c r="BI200" i="1"/>
  <c r="AJ111" i="1"/>
  <c r="AK111" i="1" s="1"/>
  <c r="AK110" i="1"/>
  <c r="AJ168" i="1"/>
  <c r="AK168" i="1" s="1"/>
  <c r="AK167" i="1"/>
  <c r="CO268" i="1"/>
  <c r="CQ268" i="1"/>
  <c r="N268" i="1" s="1"/>
  <c r="CP268" i="1"/>
  <c r="FR268" i="1"/>
  <c r="FO268" i="1"/>
  <c r="FA268" i="1"/>
  <c r="FF268" i="1"/>
  <c r="EH268" i="1"/>
  <c r="DI268" i="1"/>
  <c r="FG268" i="1"/>
  <c r="EI268" i="1"/>
  <c r="DA268" i="1"/>
  <c r="FB268" i="1"/>
  <c r="EB268" i="1"/>
  <c r="DJ268" i="1"/>
  <c r="FH268" i="1"/>
  <c r="EJ268" i="1"/>
  <c r="DH268" i="1"/>
  <c r="EZ268" i="1"/>
  <c r="EC268" i="1"/>
  <c r="CG268" i="1"/>
  <c r="M268" i="1" s="1"/>
  <c r="EN268" i="1"/>
  <c r="ED268" i="1"/>
  <c r="DM268" i="1"/>
  <c r="EO268" i="1"/>
  <c r="DV268" i="1"/>
  <c r="DL268" i="1"/>
  <c r="EP268" i="1"/>
  <c r="DW268" i="1"/>
  <c r="DK268" i="1"/>
  <c r="FI268" i="1"/>
  <c r="ET268" i="1"/>
  <c r="DX268" i="1"/>
  <c r="FM268" i="1"/>
  <c r="EU268" i="1"/>
  <c r="FN268" i="1"/>
  <c r="EV268" i="1"/>
  <c r="L92" i="1"/>
  <c r="CH82" i="1"/>
  <c r="DT229" i="1"/>
  <c r="CG229" i="1"/>
  <c r="M229" i="1" s="1"/>
  <c r="FC229" i="1"/>
  <c r="DR229" i="1"/>
  <c r="DP229" i="1"/>
  <c r="CQ229" i="1"/>
  <c r="N229" i="1" s="1"/>
  <c r="DO229" i="1"/>
  <c r="CP229" i="1"/>
  <c r="EW229" i="1"/>
  <c r="CO229" i="1"/>
  <c r="EQ229" i="1"/>
  <c r="DE229" i="1"/>
  <c r="CM229" i="1"/>
  <c r="CL229" i="1" s="1"/>
  <c r="H229" i="1" s="1"/>
  <c r="FR229" i="1"/>
  <c r="EK229" i="1"/>
  <c r="EE229" i="1"/>
  <c r="DZ229" i="1"/>
  <c r="DA229" i="1"/>
  <c r="FJ229" i="1"/>
  <c r="FB36" i="1"/>
  <c r="DV36" i="1"/>
  <c r="FG36" i="1"/>
  <c r="EN36" i="1"/>
  <c r="FO36" i="1"/>
  <c r="FI36" i="1"/>
  <c r="FF36" i="1"/>
  <c r="EH36" i="1"/>
  <c r="EU36" i="1"/>
  <c r="EC36" i="1"/>
  <c r="EZ36" i="1"/>
  <c r="FM36" i="1"/>
  <c r="EJ36" i="1"/>
  <c r="DW36" i="1"/>
  <c r="DI36" i="1"/>
  <c r="ED36" i="1"/>
  <c r="ET36" i="1"/>
  <c r="DL36" i="1"/>
  <c r="DH36" i="1"/>
  <c r="FA36" i="1"/>
  <c r="DK36" i="1"/>
  <c r="EI36" i="1"/>
  <c r="FH36" i="1"/>
  <c r="EP36" i="1"/>
  <c r="EB36" i="1"/>
  <c r="DJ36" i="1"/>
  <c r="EO36" i="1"/>
  <c r="FN36" i="1"/>
  <c r="DX36" i="1"/>
  <c r="CQ36" i="1"/>
  <c r="CN36" i="1" s="1"/>
  <c r="EV36" i="1"/>
  <c r="CO36" i="1"/>
  <c r="CP36" i="1"/>
  <c r="CG36" i="1"/>
  <c r="M36" i="1" s="1"/>
  <c r="FA61" i="1"/>
  <c r="CO21" i="1"/>
  <c r="CP21" i="1"/>
  <c r="CQ21" i="1"/>
  <c r="N21" i="1" s="1"/>
  <c r="FR21" i="1"/>
  <c r="FH21" i="1"/>
  <c r="EP21" i="1"/>
  <c r="DM21" i="1"/>
  <c r="FI21" i="1"/>
  <c r="EJ21" i="1"/>
  <c r="DA21" i="1"/>
  <c r="DI21" i="1"/>
  <c r="FG21" i="1"/>
  <c r="EV21" i="1"/>
  <c r="DH21" i="1"/>
  <c r="FA21" i="1"/>
  <c r="EB21" i="1"/>
  <c r="ET21" i="1"/>
  <c r="EC21" i="1"/>
  <c r="EU21" i="1"/>
  <c r="DX21" i="1"/>
  <c r="FN21" i="1"/>
  <c r="EH21" i="1"/>
  <c r="DJ21" i="1"/>
  <c r="FO21" i="1"/>
  <c r="EO21" i="1"/>
  <c r="DK21" i="1"/>
  <c r="DV21" i="1"/>
  <c r="DW21" i="1"/>
  <c r="ED21" i="1"/>
  <c r="FM21" i="1"/>
  <c r="CG21" i="1"/>
  <c r="M21" i="1" s="1"/>
  <c r="FF21" i="1"/>
  <c r="EZ21" i="1"/>
  <c r="FB21" i="1"/>
  <c r="EN21" i="1"/>
  <c r="DL21" i="1"/>
  <c r="EI21" i="1"/>
  <c r="CO158" i="1"/>
  <c r="CQ158" i="1"/>
  <c r="N158" i="1" s="1"/>
  <c r="CP158" i="1"/>
  <c r="FO158" i="1"/>
  <c r="DV158" i="1"/>
  <c r="EV158" i="1"/>
  <c r="FF158" i="1"/>
  <c r="FG158" i="1"/>
  <c r="FI158" i="1"/>
  <c r="EZ158" i="1"/>
  <c r="FB158" i="1"/>
  <c r="ET158" i="1"/>
  <c r="EN158" i="1"/>
  <c r="EJ158" i="1"/>
  <c r="EP158" i="1"/>
  <c r="DW158" i="1"/>
  <c r="DH158" i="1"/>
  <c r="EB158" i="1"/>
  <c r="DI158" i="1"/>
  <c r="CG158" i="1"/>
  <c r="M158" i="1" s="1"/>
  <c r="EC158" i="1"/>
  <c r="DL158" i="1"/>
  <c r="DX158" i="1"/>
  <c r="FA158" i="1"/>
  <c r="EU158" i="1"/>
  <c r="FM158" i="1"/>
  <c r="EH158" i="1"/>
  <c r="DJ158" i="1"/>
  <c r="DK158" i="1"/>
  <c r="DM158" i="1"/>
  <c r="EO158" i="1"/>
  <c r="ED158" i="1"/>
  <c r="FN158" i="1"/>
  <c r="EI158" i="1"/>
  <c r="FH158" i="1"/>
  <c r="CQ29" i="1"/>
  <c r="N29" i="1" s="1"/>
  <c r="CO29" i="1"/>
  <c r="CP29" i="1"/>
  <c r="FR29" i="1"/>
  <c r="FF29" i="1"/>
  <c r="EC29" i="1"/>
  <c r="DM29" i="1"/>
  <c r="EZ29" i="1"/>
  <c r="DX29" i="1"/>
  <c r="DJ29" i="1"/>
  <c r="FA29" i="1"/>
  <c r="ED29" i="1"/>
  <c r="DI29" i="1"/>
  <c r="FG29" i="1"/>
  <c r="DW29" i="1"/>
  <c r="DA29" i="1"/>
  <c r="FB29" i="1"/>
  <c r="EB29" i="1"/>
  <c r="ET29" i="1"/>
  <c r="EH29" i="1"/>
  <c r="FI29" i="1"/>
  <c r="EI29" i="1"/>
  <c r="CG29" i="1"/>
  <c r="M29" i="1" s="1"/>
  <c r="EU29" i="1"/>
  <c r="EJ29" i="1"/>
  <c r="FM29" i="1"/>
  <c r="EV29" i="1"/>
  <c r="DV29" i="1"/>
  <c r="FO29" i="1"/>
  <c r="EN29" i="1"/>
  <c r="DH29" i="1"/>
  <c r="FH29" i="1"/>
  <c r="EO29" i="1"/>
  <c r="DK29" i="1"/>
  <c r="FN29" i="1"/>
  <c r="EP29" i="1"/>
  <c r="DL29" i="1"/>
  <c r="AJ40" i="1"/>
  <c r="AK40" i="1" s="1"/>
  <c r="AK39" i="1"/>
  <c r="CQ43" i="1"/>
  <c r="N43" i="1" s="1"/>
  <c r="CO43" i="1"/>
  <c r="CP43" i="1"/>
  <c r="FR43" i="1"/>
  <c r="EU43" i="1"/>
  <c r="EO43" i="1"/>
  <c r="FO43" i="1"/>
  <c r="EV43" i="1"/>
  <c r="EH43" i="1"/>
  <c r="FN43" i="1"/>
  <c r="EP43" i="1"/>
  <c r="DA43" i="1"/>
  <c r="FM43" i="1"/>
  <c r="EN43" i="1"/>
  <c r="FF43" i="1"/>
  <c r="EJ43" i="1"/>
  <c r="FG43" i="1"/>
  <c r="DV43" i="1"/>
  <c r="DI43" i="1"/>
  <c r="FH43" i="1"/>
  <c r="DW43" i="1"/>
  <c r="DJ43" i="1"/>
  <c r="FI43" i="1"/>
  <c r="EI43" i="1"/>
  <c r="DK43" i="1"/>
  <c r="EZ43" i="1"/>
  <c r="DX43" i="1"/>
  <c r="DL43" i="1"/>
  <c r="FA43" i="1"/>
  <c r="EB43" i="1"/>
  <c r="DM43" i="1"/>
  <c r="FB43" i="1"/>
  <c r="EC43" i="1"/>
  <c r="DH43" i="1"/>
  <c r="CG43" i="1"/>
  <c r="M43" i="1" s="1"/>
  <c r="ET43" i="1"/>
  <c r="ED43" i="1"/>
  <c r="BI149" i="1"/>
  <c r="BF150" i="1"/>
  <c r="CO267" i="1"/>
  <c r="CP267" i="1"/>
  <c r="CQ267" i="1"/>
  <c r="N267" i="1" s="1"/>
  <c r="FR267" i="1"/>
  <c r="FM267" i="1"/>
  <c r="EU267" i="1"/>
  <c r="EI267" i="1"/>
  <c r="FN267" i="1"/>
  <c r="EV267" i="1"/>
  <c r="CG267" i="1"/>
  <c r="M267" i="1" s="1"/>
  <c r="FO267" i="1"/>
  <c r="EN267" i="1"/>
  <c r="DK267" i="1"/>
  <c r="FG267" i="1"/>
  <c r="EJ267" i="1"/>
  <c r="DL267" i="1"/>
  <c r="FI267" i="1"/>
  <c r="EC267" i="1"/>
  <c r="DI267" i="1"/>
  <c r="FF267" i="1"/>
  <c r="ED267" i="1"/>
  <c r="DA267" i="1"/>
  <c r="FH267" i="1"/>
  <c r="DV267" i="1"/>
  <c r="DH267" i="1"/>
  <c r="EZ267" i="1"/>
  <c r="DW267" i="1"/>
  <c r="DM267" i="1"/>
  <c r="FA267" i="1"/>
  <c r="DX267" i="1"/>
  <c r="DJ267" i="1"/>
  <c r="FB267" i="1"/>
  <c r="EB267" i="1"/>
  <c r="EP267" i="1"/>
  <c r="EO267" i="1"/>
  <c r="ET267" i="1"/>
  <c r="EH267" i="1"/>
  <c r="BI189" i="1"/>
  <c r="BF190" i="1"/>
  <c r="EC33" i="1"/>
  <c r="FO33" i="1"/>
  <c r="EU33" i="1"/>
  <c r="EN33" i="1"/>
  <c r="DX33" i="1"/>
  <c r="FM33" i="1"/>
  <c r="FH33" i="1"/>
  <c r="EH33" i="1"/>
  <c r="EB33" i="1"/>
  <c r="DL33" i="1"/>
  <c r="FA33" i="1"/>
  <c r="FG33" i="1"/>
  <c r="EJ33" i="1"/>
  <c r="ED33" i="1"/>
  <c r="FN33" i="1"/>
  <c r="EZ33" i="1"/>
  <c r="FI33" i="1"/>
  <c r="FF33" i="1"/>
  <c r="ET33" i="1"/>
  <c r="EI33" i="1"/>
  <c r="EG33" i="1" s="1"/>
  <c r="DH33" i="1"/>
  <c r="DK33" i="1"/>
  <c r="EP33" i="1"/>
  <c r="DW33" i="1"/>
  <c r="FB33" i="1"/>
  <c r="EO33" i="1"/>
  <c r="DV33" i="1"/>
  <c r="DJ33" i="1"/>
  <c r="DM33" i="1"/>
  <c r="DI33" i="1"/>
  <c r="EV33" i="1"/>
  <c r="CO33" i="1"/>
  <c r="CP33" i="1"/>
  <c r="CQ33" i="1"/>
  <c r="N33" i="1" s="1"/>
  <c r="FR33" i="1"/>
  <c r="DA33" i="1"/>
  <c r="CG33" i="1"/>
  <c r="M33" i="1" s="1"/>
  <c r="AJ14" i="1"/>
  <c r="AK14" i="1" s="1"/>
  <c r="AK13" i="1"/>
  <c r="CO156" i="1"/>
  <c r="CQ156" i="1"/>
  <c r="N156" i="1" s="1"/>
  <c r="CP156" i="1"/>
  <c r="FR156" i="1"/>
  <c r="FN156" i="1"/>
  <c r="EC156" i="1"/>
  <c r="DM156" i="1"/>
  <c r="FI156" i="1"/>
  <c r="ED156" i="1"/>
  <c r="FA156" i="1"/>
  <c r="EH156" i="1"/>
  <c r="FB156" i="1"/>
  <c r="DV156" i="1"/>
  <c r="FG156" i="1"/>
  <c r="EI156" i="1"/>
  <c r="EZ156" i="1"/>
  <c r="DW156" i="1"/>
  <c r="DJ156" i="1"/>
  <c r="ET156" i="1"/>
  <c r="EJ156" i="1"/>
  <c r="DK156" i="1"/>
  <c r="EN156" i="1"/>
  <c r="DX156" i="1"/>
  <c r="DH156" i="1"/>
  <c r="FM156" i="1"/>
  <c r="EU156" i="1"/>
  <c r="EB156" i="1"/>
  <c r="DA156" i="1"/>
  <c r="FO156" i="1"/>
  <c r="EO156" i="1"/>
  <c r="CG156" i="1"/>
  <c r="M156" i="1" s="1"/>
  <c r="FF156" i="1"/>
  <c r="EV156" i="1"/>
  <c r="DI156" i="1"/>
  <c r="DL156" i="1"/>
  <c r="FH156" i="1"/>
  <c r="EP156" i="1"/>
  <c r="CQ149" i="1"/>
  <c r="N149" i="1" s="1"/>
  <c r="CO149" i="1"/>
  <c r="CP149" i="1"/>
  <c r="FR149" i="1"/>
  <c r="FA149" i="1"/>
  <c r="DV149" i="1"/>
  <c r="FM149" i="1"/>
  <c r="EU149" i="1"/>
  <c r="EJ149" i="1"/>
  <c r="FI149" i="1"/>
  <c r="EN149" i="1"/>
  <c r="FH149" i="1"/>
  <c r="EC149" i="1"/>
  <c r="EZ149" i="1"/>
  <c r="DJ149" i="1"/>
  <c r="FB149" i="1"/>
  <c r="DK149" i="1"/>
  <c r="CG149" i="1"/>
  <c r="M149" i="1" s="1"/>
  <c r="ET149" i="1"/>
  <c r="DL149" i="1"/>
  <c r="EP149" i="1"/>
  <c r="EV149" i="1"/>
  <c r="DW149" i="1"/>
  <c r="DX149" i="1"/>
  <c r="EB149" i="1"/>
  <c r="FO149" i="1"/>
  <c r="EO149" i="1"/>
  <c r="DA149" i="1"/>
  <c r="FN149" i="1"/>
  <c r="ED149" i="1"/>
  <c r="DH149" i="1"/>
  <c r="FF149" i="1"/>
  <c r="EH149" i="1"/>
  <c r="DM149" i="1"/>
  <c r="EI149" i="1"/>
  <c r="DI149" i="1"/>
  <c r="FG149" i="1"/>
  <c r="CH83" i="1"/>
  <c r="FO10" i="1"/>
  <c r="EU10" i="1"/>
  <c r="EI10" i="1"/>
  <c r="EV10" i="1"/>
  <c r="EP10" i="1"/>
  <c r="EZ10" i="1"/>
  <c r="EJ10" i="1"/>
  <c r="DV10" i="1"/>
  <c r="FA10" i="1"/>
  <c r="DW10" i="1"/>
  <c r="FF10" i="1"/>
  <c r="DX10" i="1"/>
  <c r="FH10" i="1"/>
  <c r="CO10" i="1"/>
  <c r="EB10" i="1"/>
  <c r="CP10" i="1"/>
  <c r="FM10" i="1"/>
  <c r="FI10" i="1"/>
  <c r="EC10" i="1"/>
  <c r="FN10" i="1"/>
  <c r="ET10" i="1"/>
  <c r="DP10" i="1"/>
  <c r="DP7" i="1" s="1"/>
  <c r="DP60" i="1" s="1"/>
  <c r="FG10" i="1"/>
  <c r="EH10" i="1"/>
  <c r="DH10" i="1"/>
  <c r="EN10" i="1"/>
  <c r="DI10" i="1"/>
  <c r="EO10" i="1"/>
  <c r="DJ10" i="1"/>
  <c r="FB10" i="1"/>
  <c r="DK10" i="1"/>
  <c r="CQ10" i="1"/>
  <c r="CN10" i="1" s="1"/>
  <c r="DL10" i="1"/>
  <c r="ED10" i="1"/>
  <c r="DR10" i="1"/>
  <c r="DR7" i="1" s="1"/>
  <c r="DR60" i="1" s="1"/>
  <c r="CG10" i="1"/>
  <c r="M10" i="1" s="1"/>
  <c r="DM10" i="1"/>
  <c r="FA71" i="1"/>
  <c r="DI61" i="1"/>
  <c r="DI145" i="1"/>
  <c r="AK99" i="1"/>
  <c r="AJ100" i="1"/>
  <c r="DB63" i="1"/>
  <c r="DC63" i="1" s="1"/>
  <c r="BI99" i="1"/>
  <c r="BF100" i="1"/>
  <c r="CO128" i="1"/>
  <c r="CP128" i="1"/>
  <c r="CQ128" i="1"/>
  <c r="N128" i="1" s="1"/>
  <c r="FR128" i="1"/>
  <c r="FM128" i="1"/>
  <c r="FB128" i="1"/>
  <c r="DX128" i="1"/>
  <c r="DM128" i="1"/>
  <c r="FN128" i="1"/>
  <c r="EN128" i="1"/>
  <c r="DJ128" i="1"/>
  <c r="FF128" i="1"/>
  <c r="EO128" i="1"/>
  <c r="DH128" i="1"/>
  <c r="FG128" i="1"/>
  <c r="EP128" i="1"/>
  <c r="FH128" i="1"/>
  <c r="EH128" i="1"/>
  <c r="FO128" i="1"/>
  <c r="EI128" i="1"/>
  <c r="FI128" i="1"/>
  <c r="EJ128" i="1"/>
  <c r="ET128" i="1"/>
  <c r="EB128" i="1"/>
  <c r="EU128" i="1"/>
  <c r="EC128" i="1"/>
  <c r="CG128" i="1"/>
  <c r="M128" i="1" s="1"/>
  <c r="EZ128" i="1"/>
  <c r="ED128" i="1"/>
  <c r="DA128" i="1"/>
  <c r="EV128" i="1"/>
  <c r="DV128" i="1"/>
  <c r="DL128" i="1"/>
  <c r="FA128" i="1"/>
  <c r="DW128" i="1"/>
  <c r="DK128" i="1"/>
  <c r="DI128" i="1"/>
  <c r="CP38" i="1"/>
  <c r="CQ38" i="1"/>
  <c r="N38" i="1" s="1"/>
  <c r="CO38" i="1"/>
  <c r="FR38" i="1"/>
  <c r="FA38" i="1"/>
  <c r="EB38" i="1"/>
  <c r="FB38" i="1"/>
  <c r="EC38" i="1"/>
  <c r="DJ38" i="1"/>
  <c r="FI38" i="1"/>
  <c r="ED38" i="1"/>
  <c r="DA38" i="1"/>
  <c r="ET38" i="1"/>
  <c r="EI38" i="1"/>
  <c r="CG38" i="1"/>
  <c r="M38" i="1" s="1"/>
  <c r="EU38" i="1"/>
  <c r="DW38" i="1"/>
  <c r="DK38" i="1"/>
  <c r="EV38" i="1"/>
  <c r="EH38" i="1"/>
  <c r="DH38" i="1"/>
  <c r="FO38" i="1"/>
  <c r="EN38" i="1"/>
  <c r="DV38" i="1"/>
  <c r="DL38" i="1"/>
  <c r="FN38" i="1"/>
  <c r="EZ38" i="1"/>
  <c r="DM38" i="1"/>
  <c r="FF38" i="1"/>
  <c r="EO38" i="1"/>
  <c r="DI38" i="1"/>
  <c r="FG38" i="1"/>
  <c r="EP38" i="1"/>
  <c r="FM38" i="1"/>
  <c r="EJ38" i="1"/>
  <c r="FH38" i="1"/>
  <c r="DX38" i="1"/>
  <c r="CO270" i="1"/>
  <c r="CP270" i="1"/>
  <c r="FR270" i="1"/>
  <c r="CQ270" i="1"/>
  <c r="N270" i="1" s="1"/>
  <c r="FG270" i="1"/>
  <c r="EO270" i="1"/>
  <c r="DH270" i="1"/>
  <c r="FI270" i="1"/>
  <c r="EP270" i="1"/>
  <c r="DM270" i="1"/>
  <c r="EZ270" i="1"/>
  <c r="DV270" i="1"/>
  <c r="DI270" i="1"/>
  <c r="FM270" i="1"/>
  <c r="DW270" i="1"/>
  <c r="DK270" i="1"/>
  <c r="FA270" i="1"/>
  <c r="DX270" i="1"/>
  <c r="CG270" i="1"/>
  <c r="M270" i="1" s="1"/>
  <c r="FF270" i="1"/>
  <c r="EH270" i="1"/>
  <c r="DL270" i="1"/>
  <c r="DA270" i="1"/>
  <c r="FB270" i="1"/>
  <c r="EB270" i="1"/>
  <c r="DJ270" i="1"/>
  <c r="FH270" i="1"/>
  <c r="EI270" i="1"/>
  <c r="ET270" i="1"/>
  <c r="EC270" i="1"/>
  <c r="EU270" i="1"/>
  <c r="EJ270" i="1"/>
  <c r="FN270" i="1"/>
  <c r="EV270" i="1"/>
  <c r="ED270" i="1"/>
  <c r="FO270" i="1"/>
  <c r="EN270" i="1"/>
  <c r="CO221" i="1"/>
  <c r="CP221" i="1"/>
  <c r="CQ221" i="1"/>
  <c r="N221" i="1" s="1"/>
  <c r="FR221" i="1"/>
  <c r="FA221" i="1"/>
  <c r="EP221" i="1"/>
  <c r="FB221" i="1"/>
  <c r="DW221" i="1"/>
  <c r="FG221" i="1"/>
  <c r="DX221" i="1"/>
  <c r="DH221" i="1"/>
  <c r="ET221" i="1"/>
  <c r="EH221" i="1"/>
  <c r="DL221" i="1"/>
  <c r="EU221" i="1"/>
  <c r="EI221" i="1"/>
  <c r="DI221" i="1"/>
  <c r="FF221" i="1"/>
  <c r="EV221" i="1"/>
  <c r="EJ221" i="1"/>
  <c r="DJ221" i="1"/>
  <c r="FM221" i="1"/>
  <c r="EN221" i="1"/>
  <c r="DK221" i="1"/>
  <c r="FH221" i="1"/>
  <c r="EO221" i="1"/>
  <c r="DM221" i="1"/>
  <c r="FN221" i="1"/>
  <c r="EB221" i="1"/>
  <c r="DA221" i="1"/>
  <c r="FI221" i="1"/>
  <c r="EC221" i="1"/>
  <c r="FO221" i="1"/>
  <c r="ED221" i="1"/>
  <c r="CG221" i="1"/>
  <c r="M221" i="1" s="1"/>
  <c r="EZ221" i="1"/>
  <c r="DV221" i="1"/>
  <c r="CP250" i="1"/>
  <c r="CQ250" i="1"/>
  <c r="N250" i="1" s="1"/>
  <c r="CO250" i="1"/>
  <c r="FG250" i="1"/>
  <c r="EP250" i="1"/>
  <c r="FF250" i="1"/>
  <c r="EO250" i="1"/>
  <c r="FM250" i="1"/>
  <c r="DW250" i="1"/>
  <c r="DL250" i="1"/>
  <c r="DV250" i="1"/>
  <c r="DK250" i="1"/>
  <c r="EU250" i="1"/>
  <c r="ED250" i="1"/>
  <c r="FB250" i="1"/>
  <c r="DJ250" i="1"/>
  <c r="FA250" i="1"/>
  <c r="EJ250" i="1"/>
  <c r="DI250" i="1"/>
  <c r="FR250" i="1"/>
  <c r="FO250" i="1"/>
  <c r="EZ250" i="1"/>
  <c r="EI250" i="1"/>
  <c r="DH250" i="1"/>
  <c r="EC250" i="1"/>
  <c r="EV250" i="1"/>
  <c r="EB250" i="1"/>
  <c r="FI250" i="1"/>
  <c r="ET250" i="1"/>
  <c r="FH250" i="1"/>
  <c r="DX250" i="1"/>
  <c r="EN250" i="1"/>
  <c r="EH250" i="1"/>
  <c r="FN250" i="1"/>
  <c r="DM250" i="1"/>
  <c r="DA250" i="1"/>
  <c r="CG250" i="1"/>
  <c r="M250" i="1" s="1"/>
  <c r="BF177" i="1"/>
  <c r="BI176" i="1"/>
  <c r="DB234" i="1"/>
  <c r="DC234" i="1" s="1"/>
  <c r="AO235" i="1"/>
  <c r="DV80" i="1"/>
  <c r="DV81" i="1" s="1"/>
  <c r="DH80" i="1"/>
  <c r="CP80" i="1"/>
  <c r="EJ80" i="1"/>
  <c r="EJ81" i="1" s="1"/>
  <c r="EJ82" i="1" s="1"/>
  <c r="EJ83" i="1" s="1"/>
  <c r="CO80" i="1"/>
  <c r="FI80" i="1"/>
  <c r="FI81" i="1" s="1"/>
  <c r="FI82" i="1" s="1"/>
  <c r="FI83" i="1" s="1"/>
  <c r="EI80" i="1"/>
  <c r="EI81" i="1" s="1"/>
  <c r="EI82" i="1" s="1"/>
  <c r="EI83" i="1" s="1"/>
  <c r="FH80" i="1"/>
  <c r="FH81" i="1" s="1"/>
  <c r="FH82" i="1" s="1"/>
  <c r="FH83" i="1" s="1"/>
  <c r="EV80" i="1"/>
  <c r="EV81" i="1" s="1"/>
  <c r="EV82" i="1" s="1"/>
  <c r="EV83" i="1" s="1"/>
  <c r="EH80" i="1"/>
  <c r="EH81" i="1" s="1"/>
  <c r="EH82" i="1" s="1"/>
  <c r="EH83" i="1" s="1"/>
  <c r="FG80" i="1"/>
  <c r="FG81" i="1" s="1"/>
  <c r="FG82" i="1" s="1"/>
  <c r="FG83" i="1" s="1"/>
  <c r="EU80" i="1"/>
  <c r="EU81" i="1" s="1"/>
  <c r="EU82" i="1" s="1"/>
  <c r="EU83" i="1" s="1"/>
  <c r="FF80" i="1"/>
  <c r="ET80" i="1"/>
  <c r="FR80" i="1"/>
  <c r="EC80" i="1"/>
  <c r="EC81" i="1" s="1"/>
  <c r="EC82" i="1" s="1"/>
  <c r="EC83" i="1" s="1"/>
  <c r="DM80" i="1"/>
  <c r="DM81" i="1" s="1"/>
  <c r="DM82" i="1" s="1"/>
  <c r="DM83" i="1" s="1"/>
  <c r="FO80" i="1"/>
  <c r="FO81" i="1" s="1"/>
  <c r="FO82" i="1" s="1"/>
  <c r="FO83" i="1" s="1"/>
  <c r="EP80" i="1"/>
  <c r="EP81" i="1" s="1"/>
  <c r="EP82" i="1" s="1"/>
  <c r="EP83" i="1" s="1"/>
  <c r="EB80" i="1"/>
  <c r="EB81" i="1" s="1"/>
  <c r="DL80" i="1"/>
  <c r="DL81" i="1" s="1"/>
  <c r="DL82" i="1" s="1"/>
  <c r="DL83" i="1" s="1"/>
  <c r="CG80" i="1"/>
  <c r="M80" i="1" s="1"/>
  <c r="FN80" i="1"/>
  <c r="FN81" i="1" s="1"/>
  <c r="FN82" i="1" s="1"/>
  <c r="FN83" i="1" s="1"/>
  <c r="FB80" i="1"/>
  <c r="FB81" i="1" s="1"/>
  <c r="FB82" i="1" s="1"/>
  <c r="FB83" i="1" s="1"/>
  <c r="EO80" i="1"/>
  <c r="EO81" i="1" s="1"/>
  <c r="EO82" i="1" s="1"/>
  <c r="EO83" i="1" s="1"/>
  <c r="DK80" i="1"/>
  <c r="DK81" i="1" s="1"/>
  <c r="DK82" i="1" s="1"/>
  <c r="DK83" i="1" s="1"/>
  <c r="FM80" i="1"/>
  <c r="FA80" i="1"/>
  <c r="FA81" i="1" s="1"/>
  <c r="FA82" i="1" s="1"/>
  <c r="FA83" i="1" s="1"/>
  <c r="EN80" i="1"/>
  <c r="EN81" i="1" s="1"/>
  <c r="EN82" i="1" s="1"/>
  <c r="EN83" i="1" s="1"/>
  <c r="DX80" i="1"/>
  <c r="DX81" i="1" s="1"/>
  <c r="DX82" i="1" s="1"/>
  <c r="DX83" i="1" s="1"/>
  <c r="DJ80" i="1"/>
  <c r="DJ81" i="1" s="1"/>
  <c r="DJ82" i="1" s="1"/>
  <c r="DJ83" i="1" s="1"/>
  <c r="EZ80" i="1"/>
  <c r="DW80" i="1"/>
  <c r="DW81" i="1" s="1"/>
  <c r="DW82" i="1" s="1"/>
  <c r="DW83" i="1" s="1"/>
  <c r="DI80" i="1"/>
  <c r="DI81" i="1" s="1"/>
  <c r="DI82" i="1" s="1"/>
  <c r="DI83" i="1" s="1"/>
  <c r="CQ80" i="1"/>
  <c r="N80" i="1" s="1"/>
  <c r="DA80" i="1"/>
  <c r="ED80" i="1"/>
  <c r="ED81" i="1" s="1"/>
  <c r="ED82" i="1" s="1"/>
  <c r="ED83" i="1" s="1"/>
  <c r="EZ30" i="1"/>
  <c r="DW30" i="1"/>
  <c r="FH30" i="1"/>
  <c r="EO30" i="1"/>
  <c r="DK30" i="1"/>
  <c r="DH30" i="1"/>
  <c r="FM30" i="1"/>
  <c r="EJ30" i="1"/>
  <c r="ET30" i="1"/>
  <c r="EB30" i="1"/>
  <c r="FB30" i="1"/>
  <c r="DV30" i="1"/>
  <c r="FG30" i="1"/>
  <c r="EN30" i="1"/>
  <c r="DM30" i="1"/>
  <c r="DJ30" i="1"/>
  <c r="FN30" i="1"/>
  <c r="EV30" i="1"/>
  <c r="ED30" i="1"/>
  <c r="FA30" i="1"/>
  <c r="DX30" i="1"/>
  <c r="FO30" i="1"/>
  <c r="FI30" i="1"/>
  <c r="FF30" i="1"/>
  <c r="EP30" i="1"/>
  <c r="DL30" i="1"/>
  <c r="DI30" i="1"/>
  <c r="EH30" i="1"/>
  <c r="EU30" i="1"/>
  <c r="EC30" i="1"/>
  <c r="EI30" i="1"/>
  <c r="CQ30" i="1"/>
  <c r="N30" i="1" s="1"/>
  <c r="CO30" i="1"/>
  <c r="CP30" i="1"/>
  <c r="FR30" i="1"/>
  <c r="CG30" i="1"/>
  <c r="M30" i="1" s="1"/>
  <c r="DA30" i="1"/>
  <c r="DK71" i="1"/>
  <c r="DX71" i="1"/>
  <c r="DA71" i="1"/>
  <c r="BF30" i="1"/>
  <c r="BI30" i="1" s="1"/>
  <c r="BI29" i="1"/>
  <c r="DX61" i="1"/>
  <c r="DX145" i="1"/>
  <c r="CQ44" i="1"/>
  <c r="N44" i="1" s="1"/>
  <c r="CP44" i="1"/>
  <c r="CO44" i="1"/>
  <c r="FR44" i="1"/>
  <c r="FF44" i="1"/>
  <c r="EU44" i="1"/>
  <c r="DK44" i="1"/>
  <c r="FH44" i="1"/>
  <c r="EH44" i="1"/>
  <c r="DL44" i="1"/>
  <c r="FI44" i="1"/>
  <c r="EI44" i="1"/>
  <c r="DM44" i="1"/>
  <c r="EV44" i="1"/>
  <c r="DV44" i="1"/>
  <c r="EZ44" i="1"/>
  <c r="EJ44" i="1"/>
  <c r="DA44" i="1"/>
  <c r="FA44" i="1"/>
  <c r="DW44" i="1"/>
  <c r="FB44" i="1"/>
  <c r="DX44" i="1"/>
  <c r="FG44" i="1"/>
  <c r="EB44" i="1"/>
  <c r="ET44" i="1"/>
  <c r="EC44" i="1"/>
  <c r="FN44" i="1"/>
  <c r="EN44" i="1"/>
  <c r="ED44" i="1"/>
  <c r="DH44" i="1"/>
  <c r="FO44" i="1"/>
  <c r="EO44" i="1"/>
  <c r="DI44" i="1"/>
  <c r="FM44" i="1"/>
  <c r="DJ44" i="1"/>
  <c r="CG44" i="1"/>
  <c r="M44" i="1" s="1"/>
  <c r="EP44" i="1"/>
  <c r="BF183" i="1"/>
  <c r="BI182" i="1"/>
  <c r="CQ22" i="1"/>
  <c r="CN22" i="1" s="1"/>
  <c r="CO22" i="1"/>
  <c r="CP22" i="1"/>
  <c r="FR22" i="1"/>
  <c r="FN22" i="1"/>
  <c r="FN119" i="1" s="1"/>
  <c r="EV22" i="1"/>
  <c r="EV119" i="1" s="1"/>
  <c r="EJ22" i="1"/>
  <c r="EJ119" i="1" s="1"/>
  <c r="EC22" i="1"/>
  <c r="EC119" i="1" s="1"/>
  <c r="FO22" i="1"/>
  <c r="FO119" i="1" s="1"/>
  <c r="FI22" i="1"/>
  <c r="FI119" i="1" s="1"/>
  <c r="EP22" i="1"/>
  <c r="EP119" i="1" s="1"/>
  <c r="DX22" i="1"/>
  <c r="DX119" i="1" s="1"/>
  <c r="DA22" i="1"/>
  <c r="FF22" i="1"/>
  <c r="EZ22" i="1"/>
  <c r="DV22" i="1"/>
  <c r="DV119" i="1" s="1"/>
  <c r="EI22" i="1"/>
  <c r="EI119" i="1" s="1"/>
  <c r="DI22" i="1"/>
  <c r="EB22" i="1"/>
  <c r="EB119" i="1" s="1"/>
  <c r="ED22" i="1"/>
  <c r="ED119" i="1" s="1"/>
  <c r="FH22" i="1"/>
  <c r="FH119" i="1" s="1"/>
  <c r="EN22" i="1"/>
  <c r="EN119" i="1" s="1"/>
  <c r="DJ22" i="1"/>
  <c r="FB22" i="1"/>
  <c r="FB119" i="1" s="1"/>
  <c r="DW22" i="1"/>
  <c r="DW119" i="1" s="1"/>
  <c r="ET22" i="1"/>
  <c r="DL22" i="1"/>
  <c r="CG22" i="1"/>
  <c r="M22" i="1" s="1"/>
  <c r="EU22" i="1"/>
  <c r="EU119" i="1" s="1"/>
  <c r="EO22" i="1"/>
  <c r="EO119" i="1" s="1"/>
  <c r="EH22" i="1"/>
  <c r="EH119" i="1" s="1"/>
  <c r="DM22" i="1"/>
  <c r="DH22" i="1"/>
  <c r="FG22" i="1"/>
  <c r="FG119" i="1" s="1"/>
  <c r="DK22" i="1"/>
  <c r="FA22" i="1"/>
  <c r="FA119" i="1" s="1"/>
  <c r="FM22" i="1"/>
  <c r="CP105" i="1"/>
  <c r="CQ105" i="1"/>
  <c r="N105" i="1" s="1"/>
  <c r="CO105" i="1"/>
  <c r="FR105" i="1"/>
  <c r="FG105" i="1"/>
  <c r="EC105" i="1"/>
  <c r="ET105" i="1"/>
  <c r="ED105" i="1"/>
  <c r="EZ105" i="1"/>
  <c r="EB105" i="1"/>
  <c r="EU105" i="1"/>
  <c r="DV105" i="1"/>
  <c r="EH105" i="1"/>
  <c r="DW105" i="1"/>
  <c r="DJ105" i="1"/>
  <c r="FM105" i="1"/>
  <c r="EI105" i="1"/>
  <c r="DX105" i="1"/>
  <c r="DA105" i="1"/>
  <c r="FN105" i="1"/>
  <c r="FA105" i="1"/>
  <c r="DK105" i="1"/>
  <c r="FO105" i="1"/>
  <c r="EV105" i="1"/>
  <c r="CG105" i="1"/>
  <c r="M105" i="1" s="1"/>
  <c r="FF105" i="1"/>
  <c r="EN105" i="1"/>
  <c r="DI105" i="1"/>
  <c r="FH105" i="1"/>
  <c r="EJ105" i="1"/>
  <c r="DL105" i="1"/>
  <c r="FI105" i="1"/>
  <c r="EO105" i="1"/>
  <c r="DM105" i="1"/>
  <c r="DH105" i="1"/>
  <c r="FB105" i="1"/>
  <c r="EP105" i="1"/>
  <c r="AJ208" i="1"/>
  <c r="AK208" i="1" s="1"/>
  <c r="AK207" i="1"/>
  <c r="BT172" i="1"/>
  <c r="CD172" i="1" s="1"/>
  <c r="J172" i="1"/>
  <c r="I172" i="1"/>
  <c r="CQ247" i="1"/>
  <c r="N247" i="1" s="1"/>
  <c r="CP247" i="1"/>
  <c r="CO247" i="1"/>
  <c r="FR247" i="1"/>
  <c r="ED247" i="1"/>
  <c r="EO247" i="1"/>
  <c r="DW247" i="1"/>
  <c r="DM247" i="1"/>
  <c r="DI247" i="1"/>
  <c r="FM247" i="1"/>
  <c r="FG247" i="1"/>
  <c r="FA247" i="1"/>
  <c r="EU247" i="1"/>
  <c r="EI247" i="1"/>
  <c r="CG247" i="1"/>
  <c r="M247" i="1" s="1"/>
  <c r="EC247" i="1"/>
  <c r="EN247" i="1"/>
  <c r="DV247" i="1"/>
  <c r="DL247" i="1"/>
  <c r="DH247" i="1"/>
  <c r="FF247" i="1"/>
  <c r="EZ247" i="1"/>
  <c r="ET247" i="1"/>
  <c r="EH247" i="1"/>
  <c r="DA247" i="1"/>
  <c r="EB247" i="1"/>
  <c r="DK247" i="1"/>
  <c r="FO247" i="1"/>
  <c r="FI247" i="1"/>
  <c r="EP247" i="1"/>
  <c r="DX247" i="1"/>
  <c r="DJ247" i="1"/>
  <c r="FN247" i="1"/>
  <c r="FH247" i="1"/>
  <c r="FB247" i="1"/>
  <c r="EV247" i="1"/>
  <c r="EJ247" i="1"/>
  <c r="AO150" i="1"/>
  <c r="DB149" i="1"/>
  <c r="DC149" i="1" s="1"/>
  <c r="DB118" i="1"/>
  <c r="DC118" i="1" s="1"/>
  <c r="BU54" i="1"/>
  <c r="BF51" i="1"/>
  <c r="BI50" i="1"/>
  <c r="BR14" i="1"/>
  <c r="BS14" i="1"/>
  <c r="I14" i="1"/>
  <c r="J14" i="1"/>
  <c r="AK34" i="1"/>
  <c r="AJ35" i="1"/>
  <c r="AK43" i="1"/>
  <c r="AJ44" i="1"/>
  <c r="CQ136" i="1"/>
  <c r="N136" i="1" s="1"/>
  <c r="CO136" i="1"/>
  <c r="CP136" i="1"/>
  <c r="FR136" i="1"/>
  <c r="FG136" i="1"/>
  <c r="EJ136" i="1"/>
  <c r="DA136" i="1"/>
  <c r="EZ136" i="1"/>
  <c r="DV136" i="1"/>
  <c r="DM136" i="1"/>
  <c r="FI136" i="1"/>
  <c r="DW136" i="1"/>
  <c r="DI136" i="1"/>
  <c r="FA136" i="1"/>
  <c r="DX136" i="1"/>
  <c r="DJ136" i="1"/>
  <c r="FM136" i="1"/>
  <c r="EN136" i="1"/>
  <c r="EB136" i="1"/>
  <c r="FN136" i="1"/>
  <c r="EO136" i="1"/>
  <c r="FO136" i="1"/>
  <c r="EP136" i="1"/>
  <c r="FH136" i="1"/>
  <c r="FB136" i="1"/>
  <c r="FF136" i="1"/>
  <c r="EC136" i="1"/>
  <c r="DK136" i="1"/>
  <c r="ET136" i="1"/>
  <c r="EH136" i="1"/>
  <c r="DH136" i="1"/>
  <c r="EU136" i="1"/>
  <c r="ED136" i="1"/>
  <c r="DL136" i="1"/>
  <c r="EV136" i="1"/>
  <c r="EI136" i="1"/>
  <c r="CG136" i="1"/>
  <c r="M136" i="1" s="1"/>
  <c r="AO50" i="1"/>
  <c r="DB49" i="1"/>
  <c r="DC49" i="1" s="1"/>
  <c r="AJ217" i="1"/>
  <c r="AK216" i="1"/>
  <c r="CO239" i="1"/>
  <c r="CP239" i="1"/>
  <c r="CQ239" i="1"/>
  <c r="N239" i="1" s="1"/>
  <c r="FR239" i="1"/>
  <c r="FA239" i="1"/>
  <c r="EJ239" i="1"/>
  <c r="CG239" i="1"/>
  <c r="M239" i="1" s="1"/>
  <c r="EN239" i="1"/>
  <c r="DW239" i="1"/>
  <c r="FF239" i="1"/>
  <c r="ET239" i="1"/>
  <c r="DX239" i="1"/>
  <c r="DK239" i="1"/>
  <c r="FG239" i="1"/>
  <c r="EO239" i="1"/>
  <c r="FH239" i="1"/>
  <c r="EP239" i="1"/>
  <c r="DH239" i="1"/>
  <c r="FM239" i="1"/>
  <c r="EC239" i="1"/>
  <c r="FN239" i="1"/>
  <c r="ED239" i="1"/>
  <c r="FB239" i="1"/>
  <c r="EB239" i="1"/>
  <c r="FI239" i="1"/>
  <c r="EU239" i="1"/>
  <c r="DI239" i="1"/>
  <c r="FO239" i="1"/>
  <c r="EH239" i="1"/>
  <c r="EZ239" i="1"/>
  <c r="EI239" i="1"/>
  <c r="DA239" i="1"/>
  <c r="DM239" i="1"/>
  <c r="DL239" i="1"/>
  <c r="EV239" i="1"/>
  <c r="DV239" i="1"/>
  <c r="DJ239" i="1"/>
  <c r="ET251" i="1"/>
  <c r="ES68" i="1"/>
  <c r="CI235" i="1"/>
  <c r="K235" i="1"/>
  <c r="CQ171" i="1"/>
  <c r="N171" i="1" s="1"/>
  <c r="CO171" i="1"/>
  <c r="CP171" i="1"/>
  <c r="FR171" i="1"/>
  <c r="FG171" i="1"/>
  <c r="DX171" i="1"/>
  <c r="FO171" i="1"/>
  <c r="EJ171" i="1"/>
  <c r="FH171" i="1"/>
  <c r="DW171" i="1"/>
  <c r="FA171" i="1"/>
  <c r="EC171" i="1"/>
  <c r="DI171" i="1"/>
  <c r="EU171" i="1"/>
  <c r="ED171" i="1"/>
  <c r="DJ171" i="1"/>
  <c r="EP171" i="1"/>
  <c r="EH171" i="1"/>
  <c r="DK171" i="1"/>
  <c r="EV171" i="1"/>
  <c r="ET171" i="1"/>
  <c r="DL171" i="1"/>
  <c r="FM171" i="1"/>
  <c r="EZ171" i="1"/>
  <c r="DV171" i="1"/>
  <c r="FN171" i="1"/>
  <c r="EN171" i="1"/>
  <c r="FF171" i="1"/>
  <c r="FI171" i="1"/>
  <c r="CG171" i="1"/>
  <c r="M171" i="1" s="1"/>
  <c r="FB171" i="1"/>
  <c r="DA171" i="1"/>
  <c r="EI171" i="1"/>
  <c r="EB171" i="1"/>
  <c r="EO171" i="1"/>
  <c r="DH171" i="1"/>
  <c r="DM171" i="1"/>
  <c r="CJ82" i="1"/>
  <c r="AO83" i="1"/>
  <c r="DB83" i="1" s="1"/>
  <c r="DC83" i="1" s="1"/>
  <c r="DB82" i="1"/>
  <c r="DC82" i="1" s="1"/>
  <c r="DT64" i="1"/>
  <c r="DR64" i="1"/>
  <c r="DA64" i="1"/>
  <c r="EW64" i="1"/>
  <c r="DO64" i="1"/>
  <c r="CG64" i="1"/>
  <c r="M64" i="1" s="1"/>
  <c r="FR64" i="1"/>
  <c r="CQ64" i="1"/>
  <c r="N64" i="1" s="1"/>
  <c r="EK64" i="1"/>
  <c r="CP64" i="1"/>
  <c r="DZ64" i="1"/>
  <c r="CO64" i="1"/>
  <c r="DE64" i="1"/>
  <c r="EQ64" i="1"/>
  <c r="CM64" i="1"/>
  <c r="CL64" i="1" s="1"/>
  <c r="H64" i="1" s="1"/>
  <c r="FC64" i="1"/>
  <c r="EE64" i="1"/>
  <c r="DP64" i="1"/>
  <c r="FJ64" i="1"/>
  <c r="EJ61" i="1"/>
  <c r="EJ145" i="1"/>
  <c r="FI61" i="1"/>
  <c r="FI145" i="1"/>
  <c r="AJ107" i="1"/>
  <c r="AK107" i="1" s="1"/>
  <c r="AK106" i="1"/>
  <c r="L118" i="1"/>
  <c r="CP42" i="1"/>
  <c r="CQ42" i="1"/>
  <c r="N42" i="1" s="1"/>
  <c r="CO42" i="1"/>
  <c r="FR42" i="1"/>
  <c r="ET42" i="1"/>
  <c r="ED42" i="1"/>
  <c r="DM42" i="1"/>
  <c r="EU42" i="1"/>
  <c r="EH42" i="1"/>
  <c r="CG42" i="1"/>
  <c r="M42" i="1" s="1"/>
  <c r="FG42" i="1"/>
  <c r="EI42" i="1"/>
  <c r="DI42" i="1"/>
  <c r="EV42" i="1"/>
  <c r="EJ42" i="1"/>
  <c r="DJ42" i="1"/>
  <c r="FI42" i="1"/>
  <c r="DV42" i="1"/>
  <c r="DH42" i="1"/>
  <c r="EZ42" i="1"/>
  <c r="DW42" i="1"/>
  <c r="FM42" i="1"/>
  <c r="EN42" i="1"/>
  <c r="DX42" i="1"/>
  <c r="FO42" i="1"/>
  <c r="EO42" i="1"/>
  <c r="FH42" i="1"/>
  <c r="FA42" i="1"/>
  <c r="FN42" i="1"/>
  <c r="EP42" i="1"/>
  <c r="DK42" i="1"/>
  <c r="FF42" i="1"/>
  <c r="EB42" i="1"/>
  <c r="DA42" i="1"/>
  <c r="FB42" i="1"/>
  <c r="EC42" i="1"/>
  <c r="DL42" i="1"/>
  <c r="CQ161" i="1"/>
  <c r="N161" i="1" s="1"/>
  <c r="CO161" i="1"/>
  <c r="CP161" i="1"/>
  <c r="EB161" i="1"/>
  <c r="CG161" i="1"/>
  <c r="M161" i="1" s="1"/>
  <c r="EC161" i="1"/>
  <c r="DL161" i="1"/>
  <c r="DV161" i="1"/>
  <c r="DH161" i="1"/>
  <c r="DW161" i="1"/>
  <c r="DI161" i="1"/>
  <c r="FM161" i="1"/>
  <c r="EH161" i="1"/>
  <c r="FO161" i="1"/>
  <c r="EJ161" i="1"/>
  <c r="FF161" i="1"/>
  <c r="FG161" i="1"/>
  <c r="FI161" i="1"/>
  <c r="EZ161" i="1"/>
  <c r="ET161" i="1"/>
  <c r="DX161" i="1"/>
  <c r="FN161" i="1"/>
  <c r="FH161" i="1"/>
  <c r="EV161" i="1"/>
  <c r="EI161" i="1"/>
  <c r="ED161" i="1"/>
  <c r="FA161" i="1"/>
  <c r="EO161" i="1"/>
  <c r="FB161" i="1"/>
  <c r="EN161" i="1"/>
  <c r="EP161" i="1"/>
  <c r="DK161" i="1"/>
  <c r="EU161" i="1"/>
  <c r="DJ161" i="1"/>
  <c r="CQ218" i="1"/>
  <c r="N218" i="1" s="1"/>
  <c r="CO218" i="1"/>
  <c r="CP218" i="1"/>
  <c r="CG218" i="1"/>
  <c r="M218" i="1" s="1"/>
  <c r="EH218" i="1"/>
  <c r="EH219" i="1" s="1"/>
  <c r="EZ218" i="1"/>
  <c r="EB218" i="1"/>
  <c r="EB219" i="1" s="1"/>
  <c r="EN218" i="1"/>
  <c r="EN219" i="1" s="1"/>
  <c r="FF218" i="1"/>
  <c r="DV218" i="1"/>
  <c r="DV219" i="1" s="1"/>
  <c r="FM218" i="1"/>
  <c r="DH218" i="1"/>
  <c r="DK218" i="1"/>
  <c r="DK219" i="1" s="1"/>
  <c r="EI218" i="1"/>
  <c r="EI219" i="1" s="1"/>
  <c r="EV218" i="1"/>
  <c r="EV219" i="1" s="1"/>
  <c r="DJ218" i="1"/>
  <c r="DJ219" i="1" s="1"/>
  <c r="FH218" i="1"/>
  <c r="FH219" i="1" s="1"/>
  <c r="FA218" i="1"/>
  <c r="FA219" i="1" s="1"/>
  <c r="EC218" i="1"/>
  <c r="EC219" i="1" s="1"/>
  <c r="ET218" i="1"/>
  <c r="FN218" i="1"/>
  <c r="FN219" i="1" s="1"/>
  <c r="EJ218" i="1"/>
  <c r="EJ219" i="1" s="1"/>
  <c r="EO218" i="1"/>
  <c r="EO219" i="1" s="1"/>
  <c r="EU218" i="1"/>
  <c r="EU219" i="1" s="1"/>
  <c r="FG218" i="1"/>
  <c r="FG219" i="1" s="1"/>
  <c r="EP218" i="1"/>
  <c r="EP219" i="1" s="1"/>
  <c r="DW218" i="1"/>
  <c r="DW219" i="1" s="1"/>
  <c r="FI218" i="1"/>
  <c r="FI219" i="1" s="1"/>
  <c r="DX218" i="1"/>
  <c r="DX219" i="1" s="1"/>
  <c r="FB218" i="1"/>
  <c r="FB219" i="1" s="1"/>
  <c r="DI218" i="1"/>
  <c r="DI219" i="1" s="1"/>
  <c r="FO218" i="1"/>
  <c r="FO219" i="1" s="1"/>
  <c r="ED218" i="1"/>
  <c r="ED219" i="1" s="1"/>
  <c r="DL218" i="1"/>
  <c r="DL219" i="1" s="1"/>
  <c r="N215" i="1"/>
  <c r="CP245" i="1"/>
  <c r="CQ245" i="1"/>
  <c r="N245" i="1" s="1"/>
  <c r="CO245" i="1"/>
  <c r="FR245" i="1"/>
  <c r="FH245" i="1"/>
  <c r="FM245" i="1"/>
  <c r="FI245" i="1"/>
  <c r="EJ245" i="1"/>
  <c r="EZ245" i="1"/>
  <c r="EC245" i="1"/>
  <c r="FA245" i="1"/>
  <c r="DW245" i="1"/>
  <c r="DM245" i="1"/>
  <c r="FB245" i="1"/>
  <c r="ED245" i="1"/>
  <c r="DA245" i="1"/>
  <c r="DH245" i="1"/>
  <c r="FF245" i="1"/>
  <c r="DX245" i="1"/>
  <c r="DI245" i="1"/>
  <c r="EN245" i="1"/>
  <c r="DV245" i="1"/>
  <c r="DJ245" i="1"/>
  <c r="ET245" i="1"/>
  <c r="EI245" i="1"/>
  <c r="DK245" i="1"/>
  <c r="EO245" i="1"/>
  <c r="EB245" i="1"/>
  <c r="DL245" i="1"/>
  <c r="FN245" i="1"/>
  <c r="EU245" i="1"/>
  <c r="EH245" i="1"/>
  <c r="FO245" i="1"/>
  <c r="EP245" i="1"/>
  <c r="FG245" i="1"/>
  <c r="EV245" i="1"/>
  <c r="CG245" i="1"/>
  <c r="M245" i="1" s="1"/>
  <c r="EG68" i="1"/>
  <c r="EG251" i="1" s="1"/>
  <c r="CO121" i="1"/>
  <c r="CP121" i="1"/>
  <c r="CQ121" i="1"/>
  <c r="N121" i="1" s="1"/>
  <c r="FR121" i="1"/>
  <c r="FG121" i="1"/>
  <c r="EV121" i="1"/>
  <c r="FH121" i="1"/>
  <c r="EB121" i="1"/>
  <c r="FI121" i="1"/>
  <c r="DV121" i="1"/>
  <c r="FF121" i="1"/>
  <c r="EC121" i="1"/>
  <c r="DA121" i="1"/>
  <c r="EZ121" i="1"/>
  <c r="DW121" i="1"/>
  <c r="CG121" i="1"/>
  <c r="M121" i="1" s="1"/>
  <c r="FA121" i="1"/>
  <c r="ED121" i="1"/>
  <c r="ET121" i="1"/>
  <c r="DX121" i="1"/>
  <c r="FB121" i="1"/>
  <c r="EH121" i="1"/>
  <c r="EU121" i="1"/>
  <c r="EI121" i="1"/>
  <c r="FM121" i="1"/>
  <c r="EN121" i="1"/>
  <c r="EJ121" i="1"/>
  <c r="FN121" i="1"/>
  <c r="EO121" i="1"/>
  <c r="FO121" i="1"/>
  <c r="EP121" i="1"/>
  <c r="DH121" i="1"/>
  <c r="DK121" i="1"/>
  <c r="DL121" i="1"/>
  <c r="DM121" i="1"/>
  <c r="DI121" i="1"/>
  <c r="DJ121" i="1"/>
  <c r="CO132" i="1"/>
  <c r="CP132" i="1"/>
  <c r="CQ132" i="1"/>
  <c r="N132" i="1" s="1"/>
  <c r="FR132" i="1"/>
  <c r="FF132" i="1"/>
  <c r="EP132" i="1"/>
  <c r="DM132" i="1"/>
  <c r="FG132" i="1"/>
  <c r="EH132" i="1"/>
  <c r="CG132" i="1"/>
  <c r="M132" i="1" s="1"/>
  <c r="FI132" i="1"/>
  <c r="EI132" i="1"/>
  <c r="DI132" i="1"/>
  <c r="ET132" i="1"/>
  <c r="EB132" i="1"/>
  <c r="EU132" i="1"/>
  <c r="EJ132" i="1"/>
  <c r="FH132" i="1"/>
  <c r="EC132" i="1"/>
  <c r="EV132" i="1"/>
  <c r="ED132" i="1"/>
  <c r="EZ132" i="1"/>
  <c r="DV132" i="1"/>
  <c r="DH132" i="1"/>
  <c r="FA132" i="1"/>
  <c r="DW132" i="1"/>
  <c r="DK132" i="1"/>
  <c r="FM132" i="1"/>
  <c r="FB132" i="1"/>
  <c r="DX132" i="1"/>
  <c r="DA132" i="1"/>
  <c r="FN132" i="1"/>
  <c r="EN132" i="1"/>
  <c r="DJ132" i="1"/>
  <c r="DR132" i="1"/>
  <c r="FO132" i="1"/>
  <c r="EO132" i="1"/>
  <c r="DL132" i="1"/>
  <c r="BI81" i="1"/>
  <c r="BF82" i="1"/>
  <c r="DO89" i="1"/>
  <c r="FR89" i="1"/>
  <c r="CM89" i="1"/>
  <c r="CL89" i="1" s="1"/>
  <c r="H89" i="1" s="1"/>
  <c r="DA89" i="1"/>
  <c r="FJ89" i="1"/>
  <c r="DT89" i="1"/>
  <c r="FC89" i="1"/>
  <c r="EW89" i="1"/>
  <c r="EK89" i="1"/>
  <c r="DR89" i="1"/>
  <c r="CP89" i="1"/>
  <c r="EQ89" i="1"/>
  <c r="DP89" i="1"/>
  <c r="CQ89" i="1"/>
  <c r="N89" i="1" s="1"/>
  <c r="EE89" i="1"/>
  <c r="CO89" i="1"/>
  <c r="DZ89" i="1"/>
  <c r="DE89" i="1"/>
  <c r="CG89" i="1"/>
  <c r="M89" i="1" s="1"/>
  <c r="DG70" i="1"/>
  <c r="L64" i="1"/>
  <c r="FN71" i="1"/>
  <c r="DK145" i="1"/>
  <c r="FO61" i="1"/>
  <c r="FO145" i="1"/>
  <c r="BF111" i="1"/>
  <c r="BI111" i="1" s="1"/>
  <c r="BI110" i="1"/>
  <c r="CP146" i="1"/>
  <c r="CQ146" i="1"/>
  <c r="N146" i="1" s="1"/>
  <c r="CO146" i="1"/>
  <c r="FR146" i="1"/>
  <c r="EV146" i="1"/>
  <c r="DI146" i="1"/>
  <c r="FF146" i="1"/>
  <c r="EI146" i="1"/>
  <c r="DL146" i="1"/>
  <c r="FG146" i="1"/>
  <c r="EJ146" i="1"/>
  <c r="DM146" i="1"/>
  <c r="FH146" i="1"/>
  <c r="DV146" i="1"/>
  <c r="DJ146" i="1"/>
  <c r="EZ146" i="1"/>
  <c r="DW146" i="1"/>
  <c r="CG146" i="1"/>
  <c r="M146" i="1" s="1"/>
  <c r="FA146" i="1"/>
  <c r="DX146" i="1"/>
  <c r="DA146" i="1"/>
  <c r="FB146" i="1"/>
  <c r="EH146" i="1"/>
  <c r="DH146" i="1"/>
  <c r="EN146" i="1"/>
  <c r="EB146" i="1"/>
  <c r="FO146" i="1"/>
  <c r="EO146" i="1"/>
  <c r="EC146" i="1"/>
  <c r="FN146" i="1"/>
  <c r="EP146" i="1"/>
  <c r="ED146" i="1"/>
  <c r="FI146" i="1"/>
  <c r="ET146" i="1"/>
  <c r="DR146" i="1"/>
  <c r="FM146" i="1"/>
  <c r="EU146" i="1"/>
  <c r="DK146" i="1"/>
  <c r="CH118" i="1"/>
  <c r="BF222" i="1"/>
  <c r="BI221" i="1"/>
  <c r="CP99" i="1"/>
  <c r="CQ99" i="1"/>
  <c r="N99" i="1" s="1"/>
  <c r="CO99" i="1"/>
  <c r="FR99" i="1"/>
  <c r="EV99" i="1"/>
  <c r="DW99" i="1"/>
  <c r="DA99" i="1"/>
  <c r="CG99" i="1"/>
  <c r="M99" i="1" s="1"/>
  <c r="FB99" i="1"/>
  <c r="EB99" i="1"/>
  <c r="FM99" i="1"/>
  <c r="EI99" i="1"/>
  <c r="DV99" i="1"/>
  <c r="FO99" i="1"/>
  <c r="ET99" i="1"/>
  <c r="DH99" i="1"/>
  <c r="FG99" i="1"/>
  <c r="EO99" i="1"/>
  <c r="DK99" i="1"/>
  <c r="FH99" i="1"/>
  <c r="EP99" i="1"/>
  <c r="DL99" i="1"/>
  <c r="EZ99" i="1"/>
  <c r="EC99" i="1"/>
  <c r="EU99" i="1"/>
  <c r="DX99" i="1"/>
  <c r="EH99" i="1"/>
  <c r="ED99" i="1"/>
  <c r="FN99" i="1"/>
  <c r="FF99" i="1"/>
  <c r="DI99" i="1"/>
  <c r="FI99" i="1"/>
  <c r="DJ99" i="1"/>
  <c r="FA99" i="1"/>
  <c r="DM99" i="1"/>
  <c r="EJ99" i="1"/>
  <c r="EN99" i="1"/>
  <c r="BI195" i="1"/>
  <c r="BF196" i="1"/>
  <c r="CQ220" i="1"/>
  <c r="N220" i="1" s="1"/>
  <c r="CO220" i="1"/>
  <c r="CP220" i="1"/>
  <c r="FR220" i="1"/>
  <c r="ET220" i="1"/>
  <c r="EH220" i="1"/>
  <c r="EU220" i="1"/>
  <c r="FO220" i="1"/>
  <c r="FB220" i="1"/>
  <c r="FG220" i="1"/>
  <c r="EP220" i="1"/>
  <c r="FH220" i="1"/>
  <c r="EC220" i="1"/>
  <c r="EZ220" i="1"/>
  <c r="DV220" i="1"/>
  <c r="EN220" i="1"/>
  <c r="EO220" i="1"/>
  <c r="EB220" i="1"/>
  <c r="ED220" i="1"/>
  <c r="DM220" i="1"/>
  <c r="DW220" i="1"/>
  <c r="DI220" i="1"/>
  <c r="DX220" i="1"/>
  <c r="DA220" i="1"/>
  <c r="DJ220" i="1"/>
  <c r="FN220" i="1"/>
  <c r="EI220" i="1"/>
  <c r="DK220" i="1"/>
  <c r="FF220" i="1"/>
  <c r="EJ220" i="1"/>
  <c r="DL220" i="1"/>
  <c r="FM220" i="1"/>
  <c r="DH220" i="1"/>
  <c r="FI220" i="1"/>
  <c r="FA220" i="1"/>
  <c r="CG220" i="1"/>
  <c r="M220" i="1" s="1"/>
  <c r="EV220" i="1"/>
  <c r="CO248" i="1"/>
  <c r="CP248" i="1"/>
  <c r="CQ248" i="1"/>
  <c r="CN248" i="1" s="1"/>
  <c r="FN248" i="1"/>
  <c r="FN253" i="1" s="1"/>
  <c r="FH248" i="1"/>
  <c r="FH253" i="1" s="1"/>
  <c r="FB248" i="1"/>
  <c r="FB253" i="1" s="1"/>
  <c r="EV248" i="1"/>
  <c r="EV253" i="1" s="1"/>
  <c r="EJ248" i="1"/>
  <c r="EJ253" i="1" s="1"/>
  <c r="ED248" i="1"/>
  <c r="ED253" i="1" s="1"/>
  <c r="EO248" i="1"/>
  <c r="EO253" i="1" s="1"/>
  <c r="DW248" i="1"/>
  <c r="DW253" i="1" s="1"/>
  <c r="DM248" i="1"/>
  <c r="DM253" i="1" s="1"/>
  <c r="DI248" i="1"/>
  <c r="DI253" i="1" s="1"/>
  <c r="FM248" i="1"/>
  <c r="FG248" i="1"/>
  <c r="FG253" i="1" s="1"/>
  <c r="FA248" i="1"/>
  <c r="FA253" i="1" s="1"/>
  <c r="EU248" i="1"/>
  <c r="EU253" i="1" s="1"/>
  <c r="EI248" i="1"/>
  <c r="EI253" i="1" s="1"/>
  <c r="EC248" i="1"/>
  <c r="EC253" i="1" s="1"/>
  <c r="EN248" i="1"/>
  <c r="EN253" i="1" s="1"/>
  <c r="DV248" i="1"/>
  <c r="DV253" i="1" s="1"/>
  <c r="DL248" i="1"/>
  <c r="DL253" i="1" s="1"/>
  <c r="DH248" i="1"/>
  <c r="DR248" i="1"/>
  <c r="FF248" i="1"/>
  <c r="EZ248" i="1"/>
  <c r="ET248" i="1"/>
  <c r="EH248" i="1"/>
  <c r="EH253" i="1" s="1"/>
  <c r="CG248" i="1"/>
  <c r="M248" i="1" s="1"/>
  <c r="EB248" i="1"/>
  <c r="EB253" i="1" s="1"/>
  <c r="DK248" i="1"/>
  <c r="DK253" i="1" s="1"/>
  <c r="FO248" i="1"/>
  <c r="FO253" i="1" s="1"/>
  <c r="FI248" i="1"/>
  <c r="FI253" i="1" s="1"/>
  <c r="FR248" i="1"/>
  <c r="DA248" i="1"/>
  <c r="EP248" i="1"/>
  <c r="EP253" i="1" s="1"/>
  <c r="DX248" i="1"/>
  <c r="DX253" i="1" s="1"/>
  <c r="DJ248" i="1"/>
  <c r="DJ253" i="1" s="1"/>
  <c r="FM251" i="1"/>
  <c r="EZ251" i="1"/>
  <c r="EP61" i="1"/>
  <c r="EP145" i="1"/>
  <c r="CO107" i="1"/>
  <c r="CP107" i="1"/>
  <c r="CQ107" i="1"/>
  <c r="N107" i="1" s="1"/>
  <c r="FO107" i="1"/>
  <c r="FO112" i="1" s="1"/>
  <c r="EZ107" i="1"/>
  <c r="EO107" i="1"/>
  <c r="EO112" i="1" s="1"/>
  <c r="EH107" i="1"/>
  <c r="EH112" i="1" s="1"/>
  <c r="EV107" i="1"/>
  <c r="EV112" i="1" s="1"/>
  <c r="FN107" i="1"/>
  <c r="FN112" i="1" s="1"/>
  <c r="EJ107" i="1"/>
  <c r="EJ112" i="1" s="1"/>
  <c r="EB107" i="1"/>
  <c r="EB112" i="1" s="1"/>
  <c r="FI107" i="1"/>
  <c r="FI112" i="1" s="1"/>
  <c r="FF107" i="1"/>
  <c r="EP107" i="1"/>
  <c r="EP112" i="1" s="1"/>
  <c r="EC107" i="1"/>
  <c r="EC112" i="1" s="1"/>
  <c r="DH107" i="1"/>
  <c r="FG107" i="1"/>
  <c r="FG112" i="1" s="1"/>
  <c r="FA107" i="1"/>
  <c r="FA112" i="1" s="1"/>
  <c r="DI107" i="1"/>
  <c r="DV107" i="1"/>
  <c r="DV112" i="1" s="1"/>
  <c r="ED107" i="1"/>
  <c r="ED112" i="1" s="1"/>
  <c r="FH107" i="1"/>
  <c r="FH112" i="1" s="1"/>
  <c r="FB107" i="1"/>
  <c r="FB112" i="1" s="1"/>
  <c r="DJ107" i="1"/>
  <c r="DW107" i="1"/>
  <c r="DW112" i="1" s="1"/>
  <c r="ET107" i="1"/>
  <c r="EN107" i="1"/>
  <c r="EN112" i="1" s="1"/>
  <c r="DK107" i="1"/>
  <c r="EU107" i="1"/>
  <c r="EU112" i="1" s="1"/>
  <c r="EI107" i="1"/>
  <c r="EI112" i="1" s="1"/>
  <c r="DX107" i="1"/>
  <c r="DX112" i="1" s="1"/>
  <c r="CG107" i="1"/>
  <c r="M107" i="1" s="1"/>
  <c r="DL107" i="1"/>
  <c r="FM107" i="1"/>
  <c r="CQ28" i="1"/>
  <c r="N28" i="1" s="1"/>
  <c r="CO28" i="1"/>
  <c r="CP28" i="1"/>
  <c r="FR28" i="1"/>
  <c r="FI28" i="1"/>
  <c r="EI28" i="1"/>
  <c r="DM28" i="1"/>
  <c r="EZ28" i="1"/>
  <c r="EJ28" i="1"/>
  <c r="DA28" i="1"/>
  <c r="FA28" i="1"/>
  <c r="DV28" i="1"/>
  <c r="DJ28" i="1"/>
  <c r="FB28" i="1"/>
  <c r="EB28" i="1"/>
  <c r="CG28" i="1"/>
  <c r="M28" i="1" s="1"/>
  <c r="ET28" i="1"/>
  <c r="DW28" i="1"/>
  <c r="DK28" i="1"/>
  <c r="EU28" i="1"/>
  <c r="EC28" i="1"/>
  <c r="DH28" i="1"/>
  <c r="FG28" i="1"/>
  <c r="DX28" i="1"/>
  <c r="DL28" i="1"/>
  <c r="FM28" i="1"/>
  <c r="EV28" i="1"/>
  <c r="ED28" i="1"/>
  <c r="FN28" i="1"/>
  <c r="EN28" i="1"/>
  <c r="FO28" i="1"/>
  <c r="EO28" i="1"/>
  <c r="FF28" i="1"/>
  <c r="EP28" i="1"/>
  <c r="DI28" i="1"/>
  <c r="FH28" i="1"/>
  <c r="EH28" i="1"/>
  <c r="DT88" i="1"/>
  <c r="CM88" i="1"/>
  <c r="CL88" i="1" s="1"/>
  <c r="DP88" i="1"/>
  <c r="CP88" i="1"/>
  <c r="EW88" i="1"/>
  <c r="EQ88" i="1"/>
  <c r="DE88" i="1"/>
  <c r="FR88" i="1"/>
  <c r="EK88" i="1"/>
  <c r="DZ88" i="1"/>
  <c r="DA88" i="1"/>
  <c r="FJ88" i="1"/>
  <c r="CQ88" i="1"/>
  <c r="N88" i="1" s="1"/>
  <c r="FC88" i="1"/>
  <c r="CO88" i="1"/>
  <c r="EE88" i="1"/>
  <c r="DR88" i="1"/>
  <c r="CG88" i="1"/>
  <c r="M88" i="1" s="1"/>
  <c r="DO88" i="1"/>
  <c r="EO71" i="1"/>
  <c r="CO71" i="1"/>
  <c r="DM61" i="1"/>
  <c r="DM145" i="1"/>
  <c r="CH64" i="1"/>
  <c r="CO155" i="1"/>
  <c r="CQ155" i="1"/>
  <c r="N155" i="1" s="1"/>
  <c r="CP155" i="1"/>
  <c r="FR155" i="1"/>
  <c r="FN155" i="1"/>
  <c r="EV155" i="1"/>
  <c r="DL155" i="1"/>
  <c r="FF155" i="1"/>
  <c r="EP155" i="1"/>
  <c r="CG155" i="1"/>
  <c r="M155" i="1" s="1"/>
  <c r="FG155" i="1"/>
  <c r="EH155" i="1"/>
  <c r="DH155" i="1"/>
  <c r="FH155" i="1"/>
  <c r="DV155" i="1"/>
  <c r="DA155" i="1"/>
  <c r="EZ155" i="1"/>
  <c r="EI155" i="1"/>
  <c r="DM155" i="1"/>
  <c r="FI155" i="1"/>
  <c r="DW155" i="1"/>
  <c r="FA155" i="1"/>
  <c r="EJ155" i="1"/>
  <c r="FB155" i="1"/>
  <c r="DX155" i="1"/>
  <c r="ET155" i="1"/>
  <c r="EB155" i="1"/>
  <c r="EN155" i="1"/>
  <c r="EC155" i="1"/>
  <c r="DI155" i="1"/>
  <c r="FM155" i="1"/>
  <c r="EU155" i="1"/>
  <c r="ED155" i="1"/>
  <c r="DJ155" i="1"/>
  <c r="DR155" i="1"/>
  <c r="DK155" i="1"/>
  <c r="FO155" i="1"/>
  <c r="EO155" i="1"/>
  <c r="CQ147" i="1"/>
  <c r="N147" i="1" s="1"/>
  <c r="CO147" i="1"/>
  <c r="CP147" i="1"/>
  <c r="FR147" i="1"/>
  <c r="FN147" i="1"/>
  <c r="EP147" i="1"/>
  <c r="EB147" i="1"/>
  <c r="DJ147" i="1"/>
  <c r="FO147" i="1"/>
  <c r="ET147" i="1"/>
  <c r="DK147" i="1"/>
  <c r="FG147" i="1"/>
  <c r="EU147" i="1"/>
  <c r="DL147" i="1"/>
  <c r="FH147" i="1"/>
  <c r="EV147" i="1"/>
  <c r="DM147" i="1"/>
  <c r="FI147" i="1"/>
  <c r="EC147" i="1"/>
  <c r="FM147" i="1"/>
  <c r="ED147" i="1"/>
  <c r="FF147" i="1"/>
  <c r="EH147" i="1"/>
  <c r="DR147" i="1"/>
  <c r="EZ147" i="1"/>
  <c r="EI147" i="1"/>
  <c r="FA147" i="1"/>
  <c r="EJ147" i="1"/>
  <c r="FB147" i="1"/>
  <c r="DV147" i="1"/>
  <c r="DA147" i="1"/>
  <c r="CG147" i="1"/>
  <c r="M147" i="1" s="1"/>
  <c r="EN147" i="1"/>
  <c r="DW147" i="1"/>
  <c r="DH147" i="1"/>
  <c r="DX147" i="1"/>
  <c r="DI147" i="1"/>
  <c r="EO147" i="1"/>
  <c r="CP100" i="1"/>
  <c r="CQ100" i="1"/>
  <c r="N100" i="1" s="1"/>
  <c r="CO100" i="1"/>
  <c r="CG100" i="1"/>
  <c r="M100" i="1" s="1"/>
  <c r="FA100" i="1"/>
  <c r="EP100" i="1"/>
  <c r="EZ100" i="1"/>
  <c r="EC100" i="1"/>
  <c r="FM100" i="1"/>
  <c r="FG100" i="1"/>
  <c r="DL100" i="1"/>
  <c r="DH100" i="1"/>
  <c r="DK100" i="1"/>
  <c r="DW100" i="1"/>
  <c r="FB100" i="1"/>
  <c r="EJ100" i="1"/>
  <c r="FF100" i="1"/>
  <c r="EV100" i="1"/>
  <c r="FH100" i="1"/>
  <c r="ET100" i="1"/>
  <c r="DJ100" i="1"/>
  <c r="FO100" i="1"/>
  <c r="ED100" i="1"/>
  <c r="EH100" i="1"/>
  <c r="EO100" i="1"/>
  <c r="DI100" i="1"/>
  <c r="FN100" i="1"/>
  <c r="EB100" i="1"/>
  <c r="DV100" i="1"/>
  <c r="EN100" i="1"/>
  <c r="EI100" i="1"/>
  <c r="DX100" i="1"/>
  <c r="FI100" i="1"/>
  <c r="EU100" i="1"/>
  <c r="CP25" i="1"/>
  <c r="CQ25" i="1"/>
  <c r="N25" i="1" s="1"/>
  <c r="CO25" i="1"/>
  <c r="FR25" i="1"/>
  <c r="FG25" i="1"/>
  <c r="EN25" i="1"/>
  <c r="FI25" i="1"/>
  <c r="ET25" i="1"/>
  <c r="DW25" i="1"/>
  <c r="EZ25" i="1"/>
  <c r="EC25" i="1"/>
  <c r="FN25" i="1"/>
  <c r="EH25" i="1"/>
  <c r="FB25" i="1"/>
  <c r="EI25" i="1"/>
  <c r="DM25" i="1"/>
  <c r="EJ25" i="1"/>
  <c r="DJ25" i="1"/>
  <c r="EO25" i="1"/>
  <c r="DK25" i="1"/>
  <c r="EP25" i="1"/>
  <c r="CG25" i="1"/>
  <c r="M25" i="1" s="1"/>
  <c r="FM25" i="1"/>
  <c r="EB25" i="1"/>
  <c r="FO25" i="1"/>
  <c r="DX25" i="1"/>
  <c r="DL25" i="1"/>
  <c r="FF25" i="1"/>
  <c r="ED25" i="1"/>
  <c r="DI25" i="1"/>
  <c r="FH25" i="1"/>
  <c r="DV25" i="1"/>
  <c r="DH25" i="1"/>
  <c r="DA25" i="1"/>
  <c r="EU25" i="1"/>
  <c r="EV25" i="1"/>
  <c r="FA25" i="1"/>
  <c r="DR25" i="1"/>
  <c r="AK151" i="1"/>
  <c r="AJ152" i="1"/>
  <c r="AK152" i="1" s="1"/>
  <c r="BF46" i="1"/>
  <c r="BI46" i="1" s="1"/>
  <c r="BI45" i="1"/>
  <c r="BI214" i="1"/>
  <c r="BF215" i="1"/>
  <c r="CP222" i="1"/>
  <c r="CQ222" i="1"/>
  <c r="N222" i="1" s="1"/>
  <c r="CO222" i="1"/>
  <c r="FO222" i="1"/>
  <c r="FO223" i="1" s="1"/>
  <c r="EO222" i="1"/>
  <c r="EO223" i="1" s="1"/>
  <c r="EC222" i="1"/>
  <c r="EC223" i="1" s="1"/>
  <c r="DX222" i="1"/>
  <c r="DX223" i="1" s="1"/>
  <c r="DM222" i="1"/>
  <c r="DA222" i="1"/>
  <c r="FA222" i="1"/>
  <c r="FA223" i="1" s="1"/>
  <c r="EP222" i="1"/>
  <c r="EP223" i="1" s="1"/>
  <c r="EH222" i="1"/>
  <c r="EH223" i="1" s="1"/>
  <c r="DI222" i="1"/>
  <c r="FB222" i="1"/>
  <c r="FB223" i="1" s="1"/>
  <c r="ED222" i="1"/>
  <c r="ED223" i="1" s="1"/>
  <c r="EU222" i="1"/>
  <c r="EU223" i="1" s="1"/>
  <c r="FG222" i="1"/>
  <c r="FG223" i="1" s="1"/>
  <c r="EI222" i="1"/>
  <c r="EI223" i="1" s="1"/>
  <c r="FN222" i="1"/>
  <c r="FN223" i="1" s="1"/>
  <c r="FI222" i="1"/>
  <c r="FI223" i="1" s="1"/>
  <c r="EJ222" i="1"/>
  <c r="EJ223" i="1" s="1"/>
  <c r="DW222" i="1"/>
  <c r="DW223" i="1" s="1"/>
  <c r="DL222" i="1"/>
  <c r="EV222" i="1"/>
  <c r="EV223" i="1" s="1"/>
  <c r="DK222" i="1"/>
  <c r="CG222" i="1"/>
  <c r="M222" i="1" s="1"/>
  <c r="FH222" i="1"/>
  <c r="FH223" i="1" s="1"/>
  <c r="DH222" i="1"/>
  <c r="AO217" i="1"/>
  <c r="DB216" i="1"/>
  <c r="DC216" i="1" s="1"/>
  <c r="BI226" i="1"/>
  <c r="BF227" i="1"/>
  <c r="BI227" i="1" s="1"/>
  <c r="FR188" i="1"/>
  <c r="AO189" i="1"/>
  <c r="DB188" i="1"/>
  <c r="DC188" i="1" s="1"/>
  <c r="DA188" i="1"/>
  <c r="DM188" i="1"/>
  <c r="CH234" i="1"/>
  <c r="L234" i="1"/>
  <c r="AM235" i="1"/>
  <c r="CJ234" i="1"/>
  <c r="BO117" i="1"/>
  <c r="I117" i="1"/>
  <c r="J117" i="1"/>
  <c r="BS117" i="1"/>
  <c r="AK117" i="1"/>
  <c r="AJ118" i="1"/>
  <c r="AK118" i="1" s="1"/>
  <c r="CH62" i="1"/>
  <c r="L62" i="1"/>
  <c r="K62" i="1"/>
  <c r="CJ62" i="1"/>
  <c r="CI62" i="1"/>
  <c r="CF62" i="1"/>
  <c r="CG62" i="1" s="1"/>
  <c r="M62" i="1" s="1"/>
  <c r="EI71" i="1"/>
  <c r="EU71" i="1"/>
  <c r="ES71" i="1" s="1"/>
  <c r="DL145" i="1"/>
  <c r="EH116" i="1"/>
  <c r="ET116" i="1"/>
  <c r="DI116" i="1"/>
  <c r="EO116" i="1"/>
  <c r="CG116" i="1"/>
  <c r="M116" i="1" s="1"/>
  <c r="DA116" i="1"/>
  <c r="EU116" i="1"/>
  <c r="ED116" i="1"/>
  <c r="DR116" i="1"/>
  <c r="CO159" i="1"/>
  <c r="CP159" i="1"/>
  <c r="CQ159" i="1"/>
  <c r="N159" i="1" s="1"/>
  <c r="FN159" i="1"/>
  <c r="EH159" i="1"/>
  <c r="DJ159" i="1"/>
  <c r="FB159" i="1"/>
  <c r="DW159" i="1"/>
  <c r="DK159" i="1"/>
  <c r="FG159" i="1"/>
  <c r="EI159" i="1"/>
  <c r="DL159" i="1"/>
  <c r="EZ159" i="1"/>
  <c r="DX159" i="1"/>
  <c r="ET159" i="1"/>
  <c r="EJ159" i="1"/>
  <c r="FA159" i="1"/>
  <c r="EB159" i="1"/>
  <c r="EU159" i="1"/>
  <c r="EC159" i="1"/>
  <c r="FM159" i="1"/>
  <c r="EN159" i="1"/>
  <c r="ED159" i="1"/>
  <c r="FO159" i="1"/>
  <c r="EV159" i="1"/>
  <c r="CG159" i="1"/>
  <c r="M159" i="1" s="1"/>
  <c r="FF159" i="1"/>
  <c r="EO159" i="1"/>
  <c r="FH159" i="1"/>
  <c r="EP159" i="1"/>
  <c r="DH159" i="1"/>
  <c r="DI159" i="1"/>
  <c r="FI159" i="1"/>
  <c r="DV159" i="1"/>
  <c r="CO151" i="1"/>
  <c r="CQ151" i="1"/>
  <c r="N151" i="1" s="1"/>
  <c r="CP151" i="1"/>
  <c r="CG151" i="1"/>
  <c r="M151" i="1" s="1"/>
  <c r="FH151" i="1"/>
  <c r="EI151" i="1"/>
  <c r="FA151" i="1"/>
  <c r="EJ151" i="1"/>
  <c r="EO151" i="1"/>
  <c r="DW151" i="1"/>
  <c r="FN151" i="1"/>
  <c r="DX151" i="1"/>
  <c r="FO151" i="1"/>
  <c r="EP151" i="1"/>
  <c r="EU151" i="1"/>
  <c r="DI151" i="1"/>
  <c r="FG151" i="1"/>
  <c r="EV151" i="1"/>
  <c r="FI151" i="1"/>
  <c r="EC151" i="1"/>
  <c r="DK151" i="1"/>
  <c r="DL151" i="1"/>
  <c r="FB151" i="1"/>
  <c r="ED151" i="1"/>
  <c r="CQ26" i="1"/>
  <c r="N26" i="1" s="1"/>
  <c r="CO26" i="1"/>
  <c r="CP26" i="1"/>
  <c r="FR26" i="1"/>
  <c r="DJ26" i="1"/>
  <c r="CG26" i="1"/>
  <c r="M26" i="1" s="1"/>
  <c r="DM26" i="1"/>
  <c r="DH26" i="1"/>
  <c r="DK26" i="1"/>
  <c r="FO26" i="1"/>
  <c r="FO47" i="1" s="1"/>
  <c r="ET26" i="1"/>
  <c r="EH26" i="1"/>
  <c r="EH47" i="1" s="1"/>
  <c r="DX26" i="1"/>
  <c r="DX47" i="1" s="1"/>
  <c r="DI26" i="1"/>
  <c r="EU26" i="1"/>
  <c r="EU47" i="1" s="1"/>
  <c r="EI26" i="1"/>
  <c r="FN26" i="1"/>
  <c r="FN47" i="1" s="1"/>
  <c r="EO26" i="1"/>
  <c r="EO47" i="1" s="1"/>
  <c r="EV26" i="1"/>
  <c r="EV47" i="1" s="1"/>
  <c r="EJ26" i="1"/>
  <c r="EJ47" i="1" s="1"/>
  <c r="FF26" i="1"/>
  <c r="EC26" i="1"/>
  <c r="EC47" i="1" s="1"/>
  <c r="FG26" i="1"/>
  <c r="FG47" i="1" s="1"/>
  <c r="EZ26" i="1"/>
  <c r="EN26" i="1"/>
  <c r="FA26" i="1"/>
  <c r="FA47" i="1" s="1"/>
  <c r="DV26" i="1"/>
  <c r="DV47" i="1" s="1"/>
  <c r="ED26" i="1"/>
  <c r="ED47" i="1" s="1"/>
  <c r="FH26" i="1"/>
  <c r="FH47" i="1" s="1"/>
  <c r="DA26" i="1"/>
  <c r="EP26" i="1"/>
  <c r="EP47" i="1" s="1"/>
  <c r="DW26" i="1"/>
  <c r="DW47" i="1" s="1"/>
  <c r="FM26" i="1"/>
  <c r="FI26" i="1"/>
  <c r="FI47" i="1" s="1"/>
  <c r="FB26" i="1"/>
  <c r="FB47" i="1" s="1"/>
  <c r="EB26" i="1"/>
  <c r="EB47" i="1" s="1"/>
  <c r="DL26" i="1"/>
  <c r="DR26" i="1"/>
  <c r="CQ106" i="1"/>
  <c r="N106" i="1" s="1"/>
  <c r="CO106" i="1"/>
  <c r="CP106" i="1"/>
  <c r="FR106" i="1"/>
  <c r="FO106" i="1"/>
  <c r="EI106" i="1"/>
  <c r="DA106" i="1"/>
  <c r="FF106" i="1"/>
  <c r="EN106" i="1"/>
  <c r="FG106" i="1"/>
  <c r="EJ106" i="1"/>
  <c r="FH106" i="1"/>
  <c r="EO106" i="1"/>
  <c r="DH106" i="1"/>
  <c r="ET106" i="1"/>
  <c r="DX106" i="1"/>
  <c r="DI106" i="1"/>
  <c r="EZ106" i="1"/>
  <c r="EB106" i="1"/>
  <c r="DJ106" i="1"/>
  <c r="EU106" i="1"/>
  <c r="EC106" i="1"/>
  <c r="DK106" i="1"/>
  <c r="FA106" i="1"/>
  <c r="ED106" i="1"/>
  <c r="DL106" i="1"/>
  <c r="EV106" i="1"/>
  <c r="EP106" i="1"/>
  <c r="DM106" i="1"/>
  <c r="FB106" i="1"/>
  <c r="DW106" i="1"/>
  <c r="CG106" i="1"/>
  <c r="M106" i="1" s="1"/>
  <c r="FM106" i="1"/>
  <c r="FI106" i="1"/>
  <c r="DV106" i="1"/>
  <c r="FN106" i="1"/>
  <c r="EH106" i="1"/>
  <c r="DR106" i="1"/>
  <c r="CO138" i="1"/>
  <c r="CP138" i="1"/>
  <c r="CQ138" i="1"/>
  <c r="N138" i="1" s="1"/>
  <c r="FR138" i="1"/>
  <c r="FF138" i="1"/>
  <c r="EP138" i="1"/>
  <c r="FH138" i="1"/>
  <c r="EB138" i="1"/>
  <c r="FI138" i="1"/>
  <c r="EC138" i="1"/>
  <c r="EZ138" i="1"/>
  <c r="ED138" i="1"/>
  <c r="DI138" i="1"/>
  <c r="DK138" i="1"/>
  <c r="DM138" i="1"/>
  <c r="CG138" i="1"/>
  <c r="M138" i="1" s="1"/>
  <c r="FA138" i="1"/>
  <c r="EH138" i="1"/>
  <c r="FB138" i="1"/>
  <c r="EI138" i="1"/>
  <c r="ET138" i="1"/>
  <c r="DV138" i="1"/>
  <c r="EU138" i="1"/>
  <c r="DX138" i="1"/>
  <c r="FM138" i="1"/>
  <c r="EV138" i="1"/>
  <c r="EJ138" i="1"/>
  <c r="FG138" i="1"/>
  <c r="DW138" i="1"/>
  <c r="DJ138" i="1"/>
  <c r="DL138" i="1"/>
  <c r="DH138" i="1"/>
  <c r="FO138" i="1"/>
  <c r="EN138" i="1"/>
  <c r="DA138" i="1"/>
  <c r="FN138" i="1"/>
  <c r="EO138" i="1"/>
  <c r="CQ157" i="1"/>
  <c r="N157" i="1" s="1"/>
  <c r="CO157" i="1"/>
  <c r="CP157" i="1"/>
  <c r="FR157" i="1"/>
  <c r="FB157" i="1"/>
  <c r="EH157" i="1"/>
  <c r="FI157" i="1"/>
  <c r="DW157" i="1"/>
  <c r="ET157" i="1"/>
  <c r="EI157" i="1"/>
  <c r="EN157" i="1"/>
  <c r="DX157" i="1"/>
  <c r="FM157" i="1"/>
  <c r="EU157" i="1"/>
  <c r="EJ157" i="1"/>
  <c r="CG157" i="1"/>
  <c r="M157" i="1" s="1"/>
  <c r="FN157" i="1"/>
  <c r="EO157" i="1"/>
  <c r="DA157" i="1"/>
  <c r="FO157" i="1"/>
  <c r="EV157" i="1"/>
  <c r="DM157" i="1"/>
  <c r="FF157" i="1"/>
  <c r="EP157" i="1"/>
  <c r="DJ157" i="1"/>
  <c r="FG157" i="1"/>
  <c r="EB157" i="1"/>
  <c r="DK157" i="1"/>
  <c r="FH157" i="1"/>
  <c r="EC157" i="1"/>
  <c r="DL157" i="1"/>
  <c r="EZ157" i="1"/>
  <c r="ED157" i="1"/>
  <c r="DI157" i="1"/>
  <c r="FA157" i="1"/>
  <c r="DV157" i="1"/>
  <c r="DH157" i="1"/>
  <c r="EM265" i="1"/>
  <c r="ES67" i="1"/>
  <c r="CN98" i="1" l="1"/>
  <c r="N48" i="1"/>
  <c r="CN258" i="1"/>
  <c r="CN176" i="1"/>
  <c r="EY68" i="1"/>
  <c r="ED145" i="1"/>
  <c r="DM17" i="1"/>
  <c r="CN224" i="1"/>
  <c r="FA17" i="1"/>
  <c r="CN133" i="1"/>
  <c r="ES70" i="1"/>
  <c r="CN254" i="1"/>
  <c r="CN257" i="1"/>
  <c r="CN182" i="1"/>
  <c r="FE70" i="1"/>
  <c r="CN262" i="1"/>
  <c r="CN136" i="1"/>
  <c r="CN218" i="1"/>
  <c r="CN45" i="1"/>
  <c r="CN24" i="1"/>
  <c r="CN109" i="1"/>
  <c r="CN267" i="1"/>
  <c r="CN95" i="1"/>
  <c r="EI62" i="1"/>
  <c r="CN62" i="1"/>
  <c r="EJ116" i="1"/>
  <c r="CN268" i="1"/>
  <c r="CN213" i="1"/>
  <c r="CN148" i="1"/>
  <c r="CN242" i="1"/>
  <c r="CN226" i="1"/>
  <c r="CN264" i="1"/>
  <c r="CN222" i="1"/>
  <c r="CN26" i="1"/>
  <c r="CN247" i="1"/>
  <c r="CN221" i="1"/>
  <c r="CN270" i="1"/>
  <c r="CN138" i="1"/>
  <c r="CN142" i="1"/>
  <c r="CN125" i="1"/>
  <c r="CN100" i="1"/>
  <c r="CN208" i="1"/>
  <c r="CN101" i="1"/>
  <c r="CN132" i="1"/>
  <c r="CN170" i="1"/>
  <c r="CN177" i="1"/>
  <c r="CN28" i="1"/>
  <c r="CN35" i="1"/>
  <c r="CN38" i="1"/>
  <c r="CN105" i="1"/>
  <c r="CN156" i="1"/>
  <c r="CN58" i="1"/>
  <c r="CN157" i="1"/>
  <c r="CQ165" i="1"/>
  <c r="N165" i="1" s="1"/>
  <c r="CN165" i="1"/>
  <c r="CN42" i="1"/>
  <c r="CN196" i="1"/>
  <c r="CN80" i="1"/>
  <c r="CN44" i="1"/>
  <c r="CN111" i="1"/>
  <c r="CN271" i="1"/>
  <c r="CN120" i="1"/>
  <c r="CN217" i="1"/>
  <c r="CN106" i="1"/>
  <c r="CN139" i="1"/>
  <c r="CN25" i="1"/>
  <c r="CN43" i="1"/>
  <c r="CN240" i="1"/>
  <c r="CN30" i="1"/>
  <c r="CN39" i="1"/>
  <c r="CN155" i="1"/>
  <c r="CN146" i="1"/>
  <c r="CN259" i="1"/>
  <c r="CN175" i="1"/>
  <c r="CN192" i="1"/>
  <c r="CN129" i="1"/>
  <c r="CN121" i="1"/>
  <c r="CN33" i="1"/>
  <c r="CN71" i="1"/>
  <c r="CN29" i="1"/>
  <c r="FR49" i="1"/>
  <c r="CN137" i="1"/>
  <c r="CN107" i="1"/>
  <c r="CN183" i="1"/>
  <c r="CN225" i="1"/>
  <c r="CN128" i="1"/>
  <c r="CN187" i="1"/>
  <c r="CN76" i="1"/>
  <c r="CN245" i="1"/>
  <c r="CN174" i="1"/>
  <c r="CN197" i="1"/>
  <c r="CN181" i="1"/>
  <c r="CN158" i="1"/>
  <c r="CN99" i="1"/>
  <c r="CN81" i="1"/>
  <c r="CN34" i="1"/>
  <c r="CN184" i="1"/>
  <c r="CN161" i="1"/>
  <c r="CN70" i="1"/>
  <c r="CN190" i="1"/>
  <c r="CN78" i="1"/>
  <c r="CN162" i="1"/>
  <c r="FR13" i="1"/>
  <c r="CN13" i="1"/>
  <c r="CN171" i="1"/>
  <c r="CN188" i="1"/>
  <c r="CN265" i="1"/>
  <c r="CN147" i="1"/>
  <c r="CN195" i="1"/>
  <c r="CN122" i="1"/>
  <c r="CN239" i="1"/>
  <c r="CN12" i="1"/>
  <c r="CO16" i="1"/>
  <c r="CN16" i="1"/>
  <c r="CN94" i="1"/>
  <c r="CN252" i="1"/>
  <c r="CN68" i="1"/>
  <c r="CN220" i="1"/>
  <c r="CN244" i="1"/>
  <c r="CN134" i="1"/>
  <c r="CN214" i="1"/>
  <c r="CN269" i="1"/>
  <c r="CQ17" i="1"/>
  <c r="N17" i="1" s="1"/>
  <c r="CN82" i="1"/>
  <c r="CN261" i="1"/>
  <c r="CN210" i="1"/>
  <c r="CN211" i="1"/>
  <c r="CN149" i="1"/>
  <c r="CN21" i="1"/>
  <c r="CN114" i="1"/>
  <c r="CN250" i="1"/>
  <c r="CN159" i="1"/>
  <c r="FE265" i="1"/>
  <c r="DG251" i="1"/>
  <c r="FL70" i="1"/>
  <c r="CO166" i="1"/>
  <c r="ET166" i="1"/>
  <c r="EO166" i="1"/>
  <c r="EU166" i="1"/>
  <c r="FF166" i="1"/>
  <c r="EZ166" i="1"/>
  <c r="FA166" i="1"/>
  <c r="EH166" i="1"/>
  <c r="DJ166" i="1"/>
  <c r="FM166" i="1"/>
  <c r="EB166" i="1"/>
  <c r="DX166" i="1"/>
  <c r="DM166" i="1"/>
  <c r="CP166" i="1"/>
  <c r="EJ166" i="1"/>
  <c r="DW166" i="1"/>
  <c r="FH166" i="1"/>
  <c r="EV166" i="1"/>
  <c r="EC166" i="1"/>
  <c r="ED166" i="1"/>
  <c r="DI166" i="1"/>
  <c r="EN166" i="1"/>
  <c r="FR166" i="1"/>
  <c r="DA166" i="1"/>
  <c r="FI166" i="1"/>
  <c r="CQ166" i="1"/>
  <c r="N166" i="1" s="1"/>
  <c r="DK166" i="1"/>
  <c r="DL166" i="1"/>
  <c r="EP166" i="1"/>
  <c r="FN166" i="1"/>
  <c r="FG166" i="1"/>
  <c r="DH166" i="1"/>
  <c r="FB166" i="1"/>
  <c r="DV166" i="1"/>
  <c r="FO166" i="1"/>
  <c r="EI166" i="1"/>
  <c r="EI145" i="1"/>
  <c r="FH145" i="1"/>
  <c r="FE71" i="1"/>
  <c r="EB49" i="1"/>
  <c r="EO49" i="1"/>
  <c r="EJ49" i="1"/>
  <c r="EI49" i="1"/>
  <c r="EH49" i="1"/>
  <c r="FB49" i="1"/>
  <c r="DI49" i="1"/>
  <c r="EC49" i="1"/>
  <c r="CO49" i="1"/>
  <c r="DV101" i="1"/>
  <c r="EZ101" i="1"/>
  <c r="AJ139" i="1"/>
  <c r="DG265" i="1"/>
  <c r="CP116" i="1"/>
  <c r="FN116" i="1"/>
  <c r="EZ116" i="1"/>
  <c r="DW116" i="1"/>
  <c r="DX116" i="1"/>
  <c r="DH116" i="1"/>
  <c r="EC116" i="1"/>
  <c r="FH116" i="1"/>
  <c r="EV116" i="1"/>
  <c r="EY251" i="1"/>
  <c r="FN145" i="1"/>
  <c r="DL116" i="1"/>
  <c r="DV116" i="1"/>
  <c r="EI116" i="1"/>
  <c r="DJ116" i="1"/>
  <c r="FA116" i="1"/>
  <c r="EY116" i="1" s="1"/>
  <c r="EN116" i="1"/>
  <c r="EB116" i="1"/>
  <c r="FF116" i="1"/>
  <c r="FM116" i="1"/>
  <c r="FO116" i="1"/>
  <c r="FL251" i="1"/>
  <c r="DG68" i="1"/>
  <c r="EY71" i="1"/>
  <c r="EU49" i="1"/>
  <c r="FH49" i="1"/>
  <c r="FF49" i="1"/>
  <c r="FE49" i="1" s="1"/>
  <c r="FN49" i="1"/>
  <c r="FL49" i="1" s="1"/>
  <c r="FM49" i="1"/>
  <c r="DJ49" i="1"/>
  <c r="ED49" i="1"/>
  <c r="EV49" i="1"/>
  <c r="CQ49" i="1"/>
  <c r="N49" i="1" s="1"/>
  <c r="FF101" i="1"/>
  <c r="EN101" i="1"/>
  <c r="ES58" i="1"/>
  <c r="DR85" i="1"/>
  <c r="FI116" i="1"/>
  <c r="CQ116" i="1"/>
  <c r="N116" i="1" s="1"/>
  <c r="FR116" i="1"/>
  <c r="FG116" i="1"/>
  <c r="CO116" i="1"/>
  <c r="FB116" i="1"/>
  <c r="EP116" i="1"/>
  <c r="DK116" i="1"/>
  <c r="DM116" i="1"/>
  <c r="EG71" i="1"/>
  <c r="EM71" i="1"/>
  <c r="FL68" i="1"/>
  <c r="FL71" i="1"/>
  <c r="DM49" i="1"/>
  <c r="EP49" i="1"/>
  <c r="EN49" i="1"/>
  <c r="ET49" i="1"/>
  <c r="DL49" i="1"/>
  <c r="DK49" i="1"/>
  <c r="DX49" i="1"/>
  <c r="EZ49" i="1"/>
  <c r="EH101" i="1"/>
  <c r="FM101" i="1"/>
  <c r="FL101" i="1" s="1"/>
  <c r="DH101" i="1"/>
  <c r="DJ101" i="1"/>
  <c r="FE67" i="1"/>
  <c r="DP85" i="1"/>
  <c r="ES251" i="1"/>
  <c r="FE68" i="1"/>
  <c r="DJ233" i="1"/>
  <c r="DJ234" i="1" s="1"/>
  <c r="DJ235" i="1" s="1"/>
  <c r="DJ249" i="1" s="1"/>
  <c r="CP165" i="1"/>
  <c r="AK150" i="1"/>
  <c r="EG58" i="1"/>
  <c r="DR220" i="1"/>
  <c r="DR99" i="1"/>
  <c r="DR121" i="1"/>
  <c r="DR105" i="1"/>
  <c r="DR76" i="1"/>
  <c r="DR28" i="1"/>
  <c r="DP76" i="1"/>
  <c r="DR42" i="1"/>
  <c r="FE58" i="1"/>
  <c r="FL125" i="1"/>
  <c r="EM206" i="1"/>
  <c r="EG245" i="1"/>
  <c r="DR136" i="1"/>
  <c r="DR138" i="1"/>
  <c r="EZ76" i="1"/>
  <c r="DL57" i="1"/>
  <c r="DL84" i="1" s="1"/>
  <c r="DL85" i="1" s="1"/>
  <c r="DL86" i="1" s="1"/>
  <c r="DL75" i="1"/>
  <c r="DL76" i="1" s="1"/>
  <c r="EC57" i="1"/>
  <c r="EC84" i="1" s="1"/>
  <c r="EC85" i="1" s="1"/>
  <c r="EC86" i="1" s="1"/>
  <c r="EC75" i="1"/>
  <c r="EC76" i="1" s="1"/>
  <c r="EJ57" i="1"/>
  <c r="EJ84" i="1" s="1"/>
  <c r="EJ85" i="1" s="1"/>
  <c r="EJ86" i="1" s="1"/>
  <c r="EJ75" i="1"/>
  <c r="EJ76" i="1" s="1"/>
  <c r="DI57" i="1"/>
  <c r="DI84" i="1" s="1"/>
  <c r="DI85" i="1" s="1"/>
  <c r="DI86" i="1" s="1"/>
  <c r="DI75" i="1"/>
  <c r="DI76" i="1" s="1"/>
  <c r="FB57" i="1"/>
  <c r="FB84" i="1" s="1"/>
  <c r="FB85" i="1" s="1"/>
  <c r="FB86" i="1" s="1"/>
  <c r="FB75" i="1"/>
  <c r="FB76" i="1" s="1"/>
  <c r="ET76" i="1"/>
  <c r="FO57" i="1"/>
  <c r="FO84" i="1" s="1"/>
  <c r="FO85" i="1" s="1"/>
  <c r="FO86" i="1" s="1"/>
  <c r="FO75" i="1"/>
  <c r="FO76" i="1" s="1"/>
  <c r="EN57" i="1"/>
  <c r="EN84" i="1" s="1"/>
  <c r="EN85" i="1" s="1"/>
  <c r="EN86" i="1" s="1"/>
  <c r="EN75" i="1"/>
  <c r="EN76" i="1" s="1"/>
  <c r="DJ57" i="1"/>
  <c r="DJ84" i="1" s="1"/>
  <c r="DJ85" i="1" s="1"/>
  <c r="DJ86" i="1" s="1"/>
  <c r="DJ75" i="1"/>
  <c r="DJ76" i="1" s="1"/>
  <c r="DR171" i="1"/>
  <c r="DK57" i="1"/>
  <c r="DK84" i="1" s="1"/>
  <c r="DK85" i="1" s="1"/>
  <c r="DK86" i="1" s="1"/>
  <c r="DK75" i="1"/>
  <c r="DK76" i="1" s="1"/>
  <c r="DM57" i="1"/>
  <c r="DM84" i="1" s="1"/>
  <c r="DM85" i="1" s="1"/>
  <c r="DM86" i="1" s="1"/>
  <c r="DM75" i="1"/>
  <c r="DM76" i="1" s="1"/>
  <c r="EI57" i="1"/>
  <c r="EI84" i="1" s="1"/>
  <c r="EI85" i="1" s="1"/>
  <c r="EI86" i="1" s="1"/>
  <c r="EI75" i="1"/>
  <c r="EI76" i="1" s="1"/>
  <c r="FN57" i="1"/>
  <c r="FN84" i="1" s="1"/>
  <c r="FN85" i="1" s="1"/>
  <c r="FN86" i="1" s="1"/>
  <c r="FN75" i="1"/>
  <c r="FN76" i="1" s="1"/>
  <c r="EB57" i="1"/>
  <c r="EB84" i="1" s="1"/>
  <c r="EB85" i="1" s="1"/>
  <c r="EB75" i="1"/>
  <c r="EB76" i="1" s="1"/>
  <c r="FH57" i="1"/>
  <c r="FH84" i="1" s="1"/>
  <c r="FH85" i="1" s="1"/>
  <c r="FH86" i="1" s="1"/>
  <c r="FH75" i="1"/>
  <c r="FH76" i="1" s="1"/>
  <c r="EV57" i="1"/>
  <c r="EV84" i="1" s="1"/>
  <c r="EV85" i="1" s="1"/>
  <c r="EV86" i="1" s="1"/>
  <c r="EV75" i="1"/>
  <c r="EV76" i="1" s="1"/>
  <c r="DX57" i="1"/>
  <c r="DX84" i="1" s="1"/>
  <c r="DX85" i="1" s="1"/>
  <c r="DX86" i="1" s="1"/>
  <c r="DX75" i="1"/>
  <c r="DX76" i="1" s="1"/>
  <c r="ED57" i="1"/>
  <c r="ED84" i="1" s="1"/>
  <c r="ED85" i="1" s="1"/>
  <c r="ED86" i="1" s="1"/>
  <c r="ED75" i="1"/>
  <c r="ED76" i="1" s="1"/>
  <c r="FA57" i="1"/>
  <c r="FA84" i="1" s="1"/>
  <c r="FA85" i="1" s="1"/>
  <c r="FA86" i="1" s="1"/>
  <c r="FA75" i="1"/>
  <c r="FA76" i="1" s="1"/>
  <c r="DH76" i="1"/>
  <c r="FI57" i="1"/>
  <c r="FI84" i="1" s="1"/>
  <c r="FI85" i="1" s="1"/>
  <c r="FI86" i="1" s="1"/>
  <c r="FI75" i="1"/>
  <c r="FI76" i="1" s="1"/>
  <c r="DW57" i="1"/>
  <c r="DW84" i="1" s="1"/>
  <c r="DW85" i="1" s="1"/>
  <c r="DW86" i="1" s="1"/>
  <c r="DW75" i="1"/>
  <c r="DW76" i="1" s="1"/>
  <c r="EH57" i="1"/>
  <c r="EH84" i="1" s="1"/>
  <c r="EH85" i="1" s="1"/>
  <c r="EH86" i="1" s="1"/>
  <c r="EH75" i="1"/>
  <c r="EH76" i="1" s="1"/>
  <c r="FM76" i="1"/>
  <c r="EU57" i="1"/>
  <c r="EU84" i="1" s="1"/>
  <c r="EU85" i="1" s="1"/>
  <c r="EU86" i="1" s="1"/>
  <c r="EU75" i="1"/>
  <c r="EU76" i="1" s="1"/>
  <c r="FG57" i="1"/>
  <c r="FG84" i="1" s="1"/>
  <c r="FG85" i="1" s="1"/>
  <c r="FG86" i="1" s="1"/>
  <c r="FG75" i="1"/>
  <c r="FG76" i="1" s="1"/>
  <c r="ES94" i="1"/>
  <c r="EP57" i="1"/>
  <c r="EP84" i="1" s="1"/>
  <c r="EP85" i="1" s="1"/>
  <c r="EP86" i="1" s="1"/>
  <c r="EP75" i="1"/>
  <c r="EP76" i="1" s="1"/>
  <c r="FF76" i="1"/>
  <c r="EM156" i="1"/>
  <c r="EO57" i="1"/>
  <c r="EO84" i="1" s="1"/>
  <c r="EO85" i="1" s="1"/>
  <c r="EO86" i="1" s="1"/>
  <c r="EO75" i="1"/>
  <c r="EO76" i="1" s="1"/>
  <c r="DV57" i="1"/>
  <c r="DV84" i="1" s="1"/>
  <c r="DV85" i="1" s="1"/>
  <c r="DV75" i="1"/>
  <c r="DV76" i="1" s="1"/>
  <c r="DG58" i="1"/>
  <c r="DR21" i="1"/>
  <c r="DR58" i="1"/>
  <c r="DP57" i="1"/>
  <c r="DP58" i="1"/>
  <c r="EM239" i="1"/>
  <c r="EM213" i="1"/>
  <c r="FL232" i="1"/>
  <c r="DR22" i="1"/>
  <c r="EG24" i="1"/>
  <c r="EM182" i="1"/>
  <c r="DR44" i="1"/>
  <c r="EG78" i="1"/>
  <c r="CG49" i="1"/>
  <c r="M49" i="1" s="1"/>
  <c r="EG247" i="1"/>
  <c r="EG129" i="1"/>
  <c r="ES264" i="1"/>
  <c r="EM114" i="1"/>
  <c r="EM143" i="1"/>
  <c r="EM144" i="1" s="1"/>
  <c r="ES182" i="1"/>
  <c r="EU59" i="1"/>
  <c r="EU60" i="1" s="1"/>
  <c r="FG59" i="1"/>
  <c r="FG60" i="1" s="1"/>
  <c r="EP59" i="1"/>
  <c r="EP60" i="1" s="1"/>
  <c r="EO59" i="1"/>
  <c r="EO60" i="1" s="1"/>
  <c r="DR57" i="1"/>
  <c r="DL59" i="1"/>
  <c r="DL60" i="1" s="1"/>
  <c r="EC59" i="1"/>
  <c r="EC60" i="1" s="1"/>
  <c r="EJ59" i="1"/>
  <c r="EJ60" i="1" s="1"/>
  <c r="EY113" i="1"/>
  <c r="DI59" i="1"/>
  <c r="DI60" i="1" s="1"/>
  <c r="FB59" i="1"/>
  <c r="FB60" i="1" s="1"/>
  <c r="FO59" i="1"/>
  <c r="FO60" i="1" s="1"/>
  <c r="EN59" i="1"/>
  <c r="EN60" i="1" s="1"/>
  <c r="DJ59" i="1"/>
  <c r="DJ60" i="1" s="1"/>
  <c r="EG38" i="1"/>
  <c r="DK59" i="1"/>
  <c r="DK60" i="1" s="1"/>
  <c r="DM59" i="1"/>
  <c r="DM60" i="1" s="1"/>
  <c r="EI59" i="1"/>
  <c r="EI60" i="1" s="1"/>
  <c r="FN59" i="1"/>
  <c r="FN60" i="1" s="1"/>
  <c r="FH59" i="1"/>
  <c r="FH60" i="1" s="1"/>
  <c r="EV59" i="1"/>
  <c r="EV60" i="1" s="1"/>
  <c r="DX59" i="1"/>
  <c r="DX60" i="1" s="1"/>
  <c r="ED59" i="1"/>
  <c r="ED60" i="1" s="1"/>
  <c r="FA59" i="1"/>
  <c r="FA60" i="1" s="1"/>
  <c r="FI59" i="1"/>
  <c r="FI60" i="1" s="1"/>
  <c r="DW59" i="1"/>
  <c r="DW60" i="1" s="1"/>
  <c r="EH59" i="1"/>
  <c r="EH60" i="1" s="1"/>
  <c r="DP59" i="1"/>
  <c r="DR59" i="1"/>
  <c r="DV59" i="1"/>
  <c r="EB59" i="1"/>
  <c r="ES56" i="1"/>
  <c r="ET57" i="1"/>
  <c r="ET84" i="1" s="1"/>
  <c r="FR62" i="1"/>
  <c r="ED62" i="1"/>
  <c r="CP62" i="1"/>
  <c r="CD50" i="1"/>
  <c r="EU50" i="1" s="1"/>
  <c r="DI62" i="1"/>
  <c r="FA62" i="1"/>
  <c r="DK62" i="1"/>
  <c r="EG257" i="1"/>
  <c r="ES176" i="1"/>
  <c r="DX62" i="1"/>
  <c r="DJ62" i="1"/>
  <c r="DG62" i="1" s="1"/>
  <c r="EP62" i="1"/>
  <c r="EM68" i="1"/>
  <c r="EM251" i="1" s="1"/>
  <c r="DG190" i="1"/>
  <c r="EN62" i="1"/>
  <c r="EO62" i="1"/>
  <c r="EM62" i="1" s="1"/>
  <c r="EU62" i="1"/>
  <c r="DG71" i="1"/>
  <c r="DP62" i="1"/>
  <c r="FO62" i="1"/>
  <c r="ET62" i="1"/>
  <c r="FG62" i="1"/>
  <c r="DI233" i="1"/>
  <c r="DI234" i="1" s="1"/>
  <c r="DI235" i="1" s="1"/>
  <c r="DI249" i="1" s="1"/>
  <c r="DG56" i="1"/>
  <c r="DH57" i="1"/>
  <c r="DH84" i="1" s="1"/>
  <c r="DH62" i="1"/>
  <c r="CO62" i="1"/>
  <c r="FF62" i="1"/>
  <c r="EY144" i="1"/>
  <c r="EZ62" i="1"/>
  <c r="EJ62" i="1"/>
  <c r="FM62" i="1"/>
  <c r="EO144" i="1"/>
  <c r="FL56" i="1"/>
  <c r="FM57" i="1"/>
  <c r="FM84" i="1" s="1"/>
  <c r="DW62" i="1"/>
  <c r="DV62" i="1"/>
  <c r="DA62" i="1"/>
  <c r="FL39" i="1"/>
  <c r="FE56" i="1"/>
  <c r="FF57" i="1"/>
  <c r="FF84" i="1" s="1"/>
  <c r="EM138" i="1"/>
  <c r="FB62" i="1"/>
  <c r="DL62" i="1"/>
  <c r="EB62" i="1"/>
  <c r="DM62" i="1"/>
  <c r="EH62" i="1"/>
  <c r="EG62" i="1" s="1"/>
  <c r="FN62" i="1"/>
  <c r="EG94" i="1"/>
  <c r="EY56" i="1"/>
  <c r="EZ57" i="1"/>
  <c r="EZ84" i="1" s="1"/>
  <c r="EC62" i="1"/>
  <c r="EV62" i="1"/>
  <c r="EM261" i="1"/>
  <c r="FB145" i="1"/>
  <c r="DR80" i="1"/>
  <c r="DV13" i="1"/>
  <c r="DW13" i="1"/>
  <c r="CP13" i="1"/>
  <c r="FL175" i="1"/>
  <c r="DA107" i="1"/>
  <c r="DP220" i="1"/>
  <c r="FL38" i="1"/>
  <c r="EG156" i="1"/>
  <c r="EM134" i="1"/>
  <c r="FB13" i="1"/>
  <c r="ET13" i="1"/>
  <c r="CO13" i="1"/>
  <c r="EG138" i="1"/>
  <c r="DM107" i="1"/>
  <c r="ES226" i="1"/>
  <c r="EM214" i="1"/>
  <c r="FE170" i="1"/>
  <c r="DJ13" i="1"/>
  <c r="FM13" i="1"/>
  <c r="EP13" i="1"/>
  <c r="EJ13" i="1"/>
  <c r="ED13" i="1"/>
  <c r="FI13" i="1"/>
  <c r="FF13" i="1"/>
  <c r="EV13" i="1"/>
  <c r="DK13" i="1"/>
  <c r="EY42" i="1"/>
  <c r="DM13" i="1"/>
  <c r="EC13" i="1"/>
  <c r="EO13" i="1"/>
  <c r="EG192" i="1"/>
  <c r="EG193" i="1" s="1"/>
  <c r="FL188" i="1"/>
  <c r="EM267" i="1"/>
  <c r="EI13" i="1"/>
  <c r="FA13" i="1"/>
  <c r="FH13" i="1"/>
  <c r="EY183" i="1"/>
  <c r="FL196" i="1"/>
  <c r="FE32" i="1"/>
  <c r="FL128" i="1"/>
  <c r="EM43" i="1"/>
  <c r="FO13" i="1"/>
  <c r="DX13" i="1"/>
  <c r="DL13" i="1"/>
  <c r="EM24" i="1"/>
  <c r="EM32" i="1"/>
  <c r="EM56" i="1" s="1"/>
  <c r="EM116" i="1"/>
  <c r="EG147" i="1"/>
  <c r="FR107" i="1"/>
  <c r="DI13" i="1"/>
  <c r="EU13" i="1"/>
  <c r="ES13" i="1" s="1"/>
  <c r="EN13" i="1"/>
  <c r="DR107" i="1"/>
  <c r="FL146" i="1"/>
  <c r="EH13" i="1"/>
  <c r="EB13" i="1"/>
  <c r="FG13" i="1"/>
  <c r="EG210" i="1"/>
  <c r="EG187" i="1"/>
  <c r="EM142" i="1"/>
  <c r="EG142" i="1"/>
  <c r="FN13" i="1"/>
  <c r="EZ13" i="1"/>
  <c r="DJ17" i="1"/>
  <c r="EM207" i="1"/>
  <c r="FM222" i="1"/>
  <c r="FL222" i="1" s="1"/>
  <c r="EM30" i="1"/>
  <c r="EM90" i="1" s="1"/>
  <c r="EM91" i="1" s="1"/>
  <c r="EM92" i="1" s="1"/>
  <c r="EY38" i="1"/>
  <c r="EM149" i="1"/>
  <c r="FL43" i="1"/>
  <c r="EU17" i="1"/>
  <c r="DW17" i="1"/>
  <c r="EO17" i="1"/>
  <c r="EM124" i="1"/>
  <c r="FL176" i="1"/>
  <c r="EG106" i="1"/>
  <c r="DV222" i="1"/>
  <c r="DV223" i="1" s="1"/>
  <c r="EG10" i="1"/>
  <c r="FM17" i="1"/>
  <c r="EZ17" i="1"/>
  <c r="EY17" i="1" s="1"/>
  <c r="FI17" i="1"/>
  <c r="EM139" i="1"/>
  <c r="EZ222" i="1"/>
  <c r="EY222" i="1" s="1"/>
  <c r="DA158" i="1"/>
  <c r="EY170" i="1"/>
  <c r="DL17" i="1"/>
  <c r="DI17" i="1"/>
  <c r="EH17" i="1"/>
  <c r="EG17" i="1" s="1"/>
  <c r="EM187" i="1"/>
  <c r="FL12" i="1"/>
  <c r="EM196" i="1"/>
  <c r="CP17" i="1"/>
  <c r="EM257" i="1"/>
  <c r="EC17" i="1"/>
  <c r="DA17" i="1"/>
  <c r="FO17" i="1"/>
  <c r="EM225" i="1"/>
  <c r="EM174" i="1"/>
  <c r="CJ18" i="1"/>
  <c r="EY24" i="1"/>
  <c r="CO17" i="1"/>
  <c r="CG17" i="1"/>
  <c r="M17" i="1" s="1"/>
  <c r="EM220" i="1"/>
  <c r="EB222" i="1"/>
  <c r="EB223" i="1" s="1"/>
  <c r="EG121" i="1"/>
  <c r="N140" i="1"/>
  <c r="ES144" i="1"/>
  <c r="FL182" i="1"/>
  <c r="ET17" i="1"/>
  <c r="DV17" i="1"/>
  <c r="EN17" i="1"/>
  <c r="FR17" i="1"/>
  <c r="ED17" i="1"/>
  <c r="EN222" i="1"/>
  <c r="EN223" i="1" s="1"/>
  <c r="FF222" i="1"/>
  <c r="FF223" i="1" s="1"/>
  <c r="FE223" i="1" s="1"/>
  <c r="EG45" i="1"/>
  <c r="DM35" i="1"/>
  <c r="DK17" i="1"/>
  <c r="EV17" i="1"/>
  <c r="FN17" i="1"/>
  <c r="EY187" i="1"/>
  <c r="DG20" i="1"/>
  <c r="CI18" i="1"/>
  <c r="EM34" i="1"/>
  <c r="ES139" i="1"/>
  <c r="EM128" i="1"/>
  <c r="DX17" i="1"/>
  <c r="EJ17" i="1"/>
  <c r="EY34" i="1"/>
  <c r="EM157" i="1"/>
  <c r="DJ222" i="1"/>
  <c r="DG222" i="1" s="1"/>
  <c r="ET222" i="1"/>
  <c r="EG136" i="1"/>
  <c r="EY158" i="1"/>
  <c r="ES45" i="1"/>
  <c r="EG148" i="1"/>
  <c r="ES177" i="1"/>
  <c r="EG143" i="1"/>
  <c r="EG144" i="1" s="1"/>
  <c r="FB17" i="1"/>
  <c r="FH17" i="1"/>
  <c r="ES225" i="1"/>
  <c r="FL215" i="1"/>
  <c r="EG196" i="1"/>
  <c r="EY139" i="1"/>
  <c r="CI36" i="1"/>
  <c r="K36" i="1"/>
  <c r="FF17" i="1"/>
  <c r="FE233" i="1"/>
  <c r="BI222" i="1"/>
  <c r="DR222" i="1" s="1"/>
  <c r="FE175" i="1"/>
  <c r="DH17" i="1"/>
  <c r="EP17" i="1"/>
  <c r="EG124" i="1"/>
  <c r="EG181" i="1"/>
  <c r="EG267" i="1"/>
  <c r="EB17" i="1"/>
  <c r="FG17" i="1"/>
  <c r="ES181" i="1"/>
  <c r="AP102" i="1"/>
  <c r="CN102" i="1" s="1"/>
  <c r="K101" i="1"/>
  <c r="CI101" i="1"/>
  <c r="FE113" i="1"/>
  <c r="ES113" i="1"/>
  <c r="EG105" i="1"/>
  <c r="FE104" i="1"/>
  <c r="EM247" i="1"/>
  <c r="FE206" i="1"/>
  <c r="EM269" i="1"/>
  <c r="EG254" i="1"/>
  <c r="EG255" i="1" s="1"/>
  <c r="ES132" i="1"/>
  <c r="EM101" i="1"/>
  <c r="EM244" i="1"/>
  <c r="FL191" i="1"/>
  <c r="CI46" i="1"/>
  <c r="K46" i="1"/>
  <c r="DJ46" i="1"/>
  <c r="ET46" i="1"/>
  <c r="EH46" i="1"/>
  <c r="DV46" i="1"/>
  <c r="EN46" i="1"/>
  <c r="FM46" i="1"/>
  <c r="FF46" i="1"/>
  <c r="EB46" i="1"/>
  <c r="EZ46" i="1"/>
  <c r="EM245" i="1"/>
  <c r="EM44" i="1"/>
  <c r="EG268" i="1"/>
  <c r="EG226" i="1"/>
  <c r="EG216" i="1"/>
  <c r="ES120" i="1"/>
  <c r="FL98" i="1"/>
  <c r="ES183" i="1"/>
  <c r="EG104" i="1"/>
  <c r="DG227" i="1"/>
  <c r="ES124" i="1"/>
  <c r="EM195" i="1"/>
  <c r="EM224" i="1"/>
  <c r="K166" i="1"/>
  <c r="CF166" i="1"/>
  <c r="CG166" i="1" s="1"/>
  <c r="M166" i="1" s="1"/>
  <c r="CI166" i="1"/>
  <c r="CH166" i="1"/>
  <c r="T53" i="1"/>
  <c r="I52" i="1"/>
  <c r="J52" i="1"/>
  <c r="BR52" i="1"/>
  <c r="BS52" i="1"/>
  <c r="EG99" i="1"/>
  <c r="EG146" i="1"/>
  <c r="EY161" i="1"/>
  <c r="FE136" i="1"/>
  <c r="ES129" i="1"/>
  <c r="ES48" i="1"/>
  <c r="EG183" i="1"/>
  <c r="ES217" i="1"/>
  <c r="EG218" i="1"/>
  <c r="EG219" i="1" s="1"/>
  <c r="EM161" i="1"/>
  <c r="EG239" i="1"/>
  <c r="EG43" i="1"/>
  <c r="EG109" i="1"/>
  <c r="EG111" i="1"/>
  <c r="FL143" i="1"/>
  <c r="FE225" i="1"/>
  <c r="FL187" i="1"/>
  <c r="EM133" i="1"/>
  <c r="DG139" i="1"/>
  <c r="CD18" i="1"/>
  <c r="AK189" i="1"/>
  <c r="AJ190" i="1"/>
  <c r="EG28" i="1"/>
  <c r="EG171" i="1"/>
  <c r="EY239" i="1"/>
  <c r="EM250" i="1"/>
  <c r="FE38" i="1"/>
  <c r="EY94" i="1"/>
  <c r="EG48" i="1"/>
  <c r="EY98" i="1"/>
  <c r="EG258" i="1"/>
  <c r="EM215" i="1"/>
  <c r="EM181" i="1"/>
  <c r="EM191" i="1"/>
  <c r="DG178" i="1"/>
  <c r="FE133" i="1"/>
  <c r="EY32" i="1"/>
  <c r="EG100" i="1"/>
  <c r="EM210" i="1"/>
  <c r="DG187" i="1"/>
  <c r="FL195" i="1"/>
  <c r="ES191" i="1"/>
  <c r="EG110" i="1"/>
  <c r="EM113" i="1"/>
  <c r="EG139" i="1"/>
  <c r="CF18" i="1"/>
  <c r="CH18" i="1"/>
  <c r="FL99" i="1"/>
  <c r="EG137" i="1"/>
  <c r="FL178" i="1"/>
  <c r="DG32" i="1"/>
  <c r="ES32" i="1"/>
  <c r="EM171" i="1"/>
  <c r="EM105" i="1"/>
  <c r="EG29" i="1"/>
  <c r="EG162" i="1"/>
  <c r="EM137" i="1"/>
  <c r="FE255" i="1"/>
  <c r="EG195" i="1"/>
  <c r="ES269" i="1"/>
  <c r="EY133" i="1"/>
  <c r="FL139" i="1"/>
  <c r="EY147" i="1"/>
  <c r="EM10" i="1"/>
  <c r="EM11" i="1" s="1"/>
  <c r="EM21" i="1"/>
  <c r="EM166" i="1"/>
  <c r="EY264" i="1"/>
  <c r="EY143" i="1"/>
  <c r="FL104" i="1"/>
  <c r="ES210" i="1"/>
  <c r="EY213" i="1"/>
  <c r="FL34" i="1"/>
  <c r="AP150" i="1"/>
  <c r="CN150" i="1" s="1"/>
  <c r="K149" i="1"/>
  <c r="CI149" i="1"/>
  <c r="AP179" i="1"/>
  <c r="CN179" i="1" s="1"/>
  <c r="CI178" i="1"/>
  <c r="K178" i="1"/>
  <c r="EY25" i="1"/>
  <c r="EM146" i="1"/>
  <c r="EM29" i="1"/>
  <c r="EG39" i="1"/>
  <c r="ES178" i="1"/>
  <c r="K18" i="1"/>
  <c r="FE144" i="1"/>
  <c r="AO185" i="1"/>
  <c r="DB184" i="1"/>
  <c r="DC184" i="1" s="1"/>
  <c r="AP185" i="1"/>
  <c r="CN185" i="1" s="1"/>
  <c r="CI184" i="1"/>
  <c r="K184" i="1"/>
  <c r="ES159" i="1"/>
  <c r="EM25" i="1"/>
  <c r="DP99" i="1"/>
  <c r="DG42" i="1"/>
  <c r="DP105" i="1"/>
  <c r="EM38" i="1"/>
  <c r="FL156" i="1"/>
  <c r="EG125" i="1"/>
  <c r="EM190" i="1"/>
  <c r="DG225" i="1"/>
  <c r="FE213" i="1"/>
  <c r="DJ184" i="1"/>
  <c r="DG191" i="1"/>
  <c r="EG178" i="1"/>
  <c r="FL269" i="1"/>
  <c r="ES245" i="1"/>
  <c r="FE252" i="1"/>
  <c r="FE78" i="1"/>
  <c r="EM94" i="1"/>
  <c r="EG190" i="1"/>
  <c r="ES165" i="1"/>
  <c r="ES104" i="1"/>
  <c r="EG217" i="1"/>
  <c r="EY174" i="1"/>
  <c r="EH184" i="1"/>
  <c r="EG184" i="1" s="1"/>
  <c r="EN184" i="1"/>
  <c r="EM184" i="1" s="1"/>
  <c r="EM194" i="1"/>
  <c r="EY181" i="1"/>
  <c r="EM110" i="1"/>
  <c r="EY224" i="1"/>
  <c r="CI222" i="1"/>
  <c r="K222" i="1"/>
  <c r="ES133" i="1"/>
  <c r="EZ41" i="1"/>
  <c r="EY41" i="1" s="1"/>
  <c r="EY40" i="1"/>
  <c r="DP26" i="1"/>
  <c r="DP248" i="1"/>
  <c r="FL220" i="1"/>
  <c r="FL161" i="1"/>
  <c r="EG44" i="1"/>
  <c r="EG149" i="1"/>
  <c r="EM252" i="1"/>
  <c r="EY190" i="1"/>
  <c r="EM165" i="1"/>
  <c r="FR184" i="1"/>
  <c r="EG175" i="1"/>
  <c r="FE183" i="1"/>
  <c r="EY16" i="1"/>
  <c r="EG208" i="1"/>
  <c r="EG209" i="1" s="1"/>
  <c r="EM240" i="1"/>
  <c r="EM241" i="1" s="1"/>
  <c r="FL258" i="1"/>
  <c r="EM217" i="1"/>
  <c r="EY261" i="1"/>
  <c r="EG213" i="1"/>
  <c r="DM184" i="1"/>
  <c r="DA184" i="1"/>
  <c r="EG20" i="1"/>
  <c r="EM20" i="1"/>
  <c r="DG67" i="1"/>
  <c r="EM12" i="1"/>
  <c r="FE224" i="1"/>
  <c r="EG188" i="1"/>
  <c r="AO159" i="1"/>
  <c r="DB158" i="1"/>
  <c r="DC158" i="1" s="1"/>
  <c r="ES34" i="1"/>
  <c r="FE40" i="1"/>
  <c r="FH41" i="1"/>
  <c r="FE41" i="1" s="1"/>
  <c r="EM40" i="1"/>
  <c r="EM41" i="1" s="1"/>
  <c r="EO41" i="1"/>
  <c r="DP116" i="1"/>
  <c r="FR100" i="1"/>
  <c r="DP107" i="1"/>
  <c r="DP132" i="1"/>
  <c r="DP121" i="1"/>
  <c r="DP136" i="1"/>
  <c r="DG105" i="1"/>
  <c r="EY270" i="1"/>
  <c r="EG128" i="1"/>
  <c r="FE149" i="1"/>
  <c r="DP33" i="1"/>
  <c r="EM162" i="1"/>
  <c r="EY226" i="1"/>
  <c r="EM48" i="1"/>
  <c r="FL48" i="1"/>
  <c r="EG189" i="1"/>
  <c r="DG35" i="1"/>
  <c r="EY175" i="1"/>
  <c r="EM16" i="1"/>
  <c r="EY137" i="1"/>
  <c r="FE174" i="1"/>
  <c r="FE254" i="1"/>
  <c r="EM106" i="1"/>
  <c r="DP25" i="1"/>
  <c r="FL147" i="1"/>
  <c r="DP147" i="1"/>
  <c r="DP171" i="1"/>
  <c r="DP22" i="1"/>
  <c r="FL226" i="1"/>
  <c r="EY45" i="1"/>
  <c r="EM120" i="1"/>
  <c r="FL95" i="1"/>
  <c r="FE48" i="1"/>
  <c r="EM148" i="1"/>
  <c r="ES98" i="1"/>
  <c r="ES189" i="1"/>
  <c r="FE189" i="1"/>
  <c r="EM35" i="1"/>
  <c r="EM183" i="1"/>
  <c r="ES215" i="1"/>
  <c r="FE261" i="1"/>
  <c r="FL261" i="1"/>
  <c r="FE232" i="1"/>
  <c r="FE207" i="1"/>
  <c r="EG211" i="1"/>
  <c r="EG212" i="1" s="1"/>
  <c r="ES195" i="1"/>
  <c r="EM178" i="1"/>
  <c r="DG40" i="1"/>
  <c r="DI41" i="1"/>
  <c r="DG41" i="1" s="1"/>
  <c r="DP138" i="1"/>
  <c r="FL159" i="1"/>
  <c r="EG25" i="1"/>
  <c r="EY28" i="1"/>
  <c r="ES220" i="1"/>
  <c r="EM132" i="1"/>
  <c r="EG132" i="1"/>
  <c r="ES38" i="1"/>
  <c r="FL21" i="1"/>
  <c r="ES162" i="1"/>
  <c r="EG214" i="1"/>
  <c r="EM216" i="1"/>
  <c r="FE45" i="1"/>
  <c r="EG120" i="1"/>
  <c r="FL170" i="1"/>
  <c r="EY111" i="1"/>
  <c r="ES101" i="1"/>
  <c r="EM175" i="1"/>
  <c r="EM264" i="1"/>
  <c r="EG174" i="1"/>
  <c r="EM227" i="1"/>
  <c r="EM236" i="1" s="1"/>
  <c r="EM266" i="1" s="1"/>
  <c r="EG206" i="1"/>
  <c r="FF184" i="1"/>
  <c r="FE184" i="1" s="1"/>
  <c r="ES20" i="1"/>
  <c r="EG194" i="1"/>
  <c r="EG12" i="1"/>
  <c r="EG191" i="1"/>
  <c r="EM254" i="1"/>
  <c r="EM255" i="1" s="1"/>
  <c r="EM176" i="1"/>
  <c r="FL133" i="1"/>
  <c r="FL138" i="1"/>
  <c r="EG155" i="1"/>
  <c r="DP42" i="1"/>
  <c r="DP239" i="1"/>
  <c r="DP250" i="1"/>
  <c r="DP38" i="1"/>
  <c r="ES156" i="1"/>
  <c r="ES190" i="1"/>
  <c r="EG215" i="1"/>
  <c r="EG197" i="1"/>
  <c r="EG198" i="1" s="1"/>
  <c r="EG199" i="1" s="1"/>
  <c r="EG200" i="1" s="1"/>
  <c r="EG201" i="1" s="1"/>
  <c r="EG202" i="1" s="1"/>
  <c r="EG203" i="1" s="1"/>
  <c r="ES12" i="1"/>
  <c r="DG142" i="1"/>
  <c r="EG224" i="1"/>
  <c r="DG133" i="1"/>
  <c r="DP128" i="1"/>
  <c r="DA100" i="1"/>
  <c r="DP155" i="1"/>
  <c r="FE245" i="1"/>
  <c r="FE148" i="1"/>
  <c r="EG165" i="1"/>
  <c r="FL35" i="1"/>
  <c r="EY35" i="1"/>
  <c r="FL183" i="1"/>
  <c r="EM258" i="1"/>
  <c r="FL210" i="1"/>
  <c r="FE215" i="1"/>
  <c r="ES244" i="1"/>
  <c r="EG227" i="1"/>
  <c r="EG236" i="1" s="1"/>
  <c r="EG266" i="1" s="1"/>
  <c r="ET184" i="1"/>
  <c r="ES184" i="1" s="1"/>
  <c r="ES207" i="1"/>
  <c r="EY196" i="1"/>
  <c r="DG130" i="1"/>
  <c r="EY188" i="1"/>
  <c r="EG113" i="1"/>
  <c r="EG34" i="1"/>
  <c r="EG40" i="1"/>
  <c r="EG41" i="1" s="1"/>
  <c r="DG26" i="1"/>
  <c r="DP146" i="1"/>
  <c r="DG245" i="1"/>
  <c r="FL247" i="1"/>
  <c r="DP44" i="1"/>
  <c r="EG221" i="1"/>
  <c r="EM270" i="1"/>
  <c r="EY148" i="1"/>
  <c r="EG35" i="1"/>
  <c r="FE139" i="1"/>
  <c r="ES40" i="1"/>
  <c r="ET41" i="1"/>
  <c r="ES41" i="1" s="1"/>
  <c r="DP222" i="1"/>
  <c r="DG146" i="1"/>
  <c r="DP247" i="1"/>
  <c r="DP80" i="1"/>
  <c r="ES270" i="1"/>
  <c r="EG114" i="1"/>
  <c r="FL174" i="1"/>
  <c r="EZ184" i="1"/>
  <c r="EY20" i="1"/>
  <c r="DG259" i="1"/>
  <c r="FE269" i="1"/>
  <c r="EY176" i="1"/>
  <c r="AO36" i="1"/>
  <c r="DB35" i="1"/>
  <c r="DC35" i="1" s="1"/>
  <c r="DG113" i="1"/>
  <c r="DG34" i="1"/>
  <c r="FE34" i="1"/>
  <c r="EG32" i="1"/>
  <c r="EG56" i="1" s="1"/>
  <c r="FL40" i="1"/>
  <c r="FM41" i="1"/>
  <c r="FL41" i="1" s="1"/>
  <c r="DP106" i="1"/>
  <c r="EG159" i="1"/>
  <c r="EM100" i="1"/>
  <c r="FE155" i="1"/>
  <c r="DP28" i="1"/>
  <c r="DP245" i="1"/>
  <c r="FE161" i="1"/>
  <c r="CD14" i="1"/>
  <c r="EG170" i="1"/>
  <c r="EY189" i="1"/>
  <c r="FL189" i="1"/>
  <c r="FE264" i="1"/>
  <c r="EM104" i="1"/>
  <c r="EG225" i="1"/>
  <c r="ES206" i="1"/>
  <c r="DH184" i="1"/>
  <c r="FM184" i="1"/>
  <c r="FL184" i="1" s="1"/>
  <c r="EM211" i="1"/>
  <c r="EM212" i="1" s="1"/>
  <c r="EY195" i="1"/>
  <c r="FL113" i="1"/>
  <c r="EG133" i="1"/>
  <c r="FL32" i="1"/>
  <c r="DG122" i="1"/>
  <c r="FL124" i="1"/>
  <c r="EY12" i="1"/>
  <c r="EM99" i="1"/>
  <c r="EG98" i="1"/>
  <c r="ES110" i="1"/>
  <c r="EM98" i="1"/>
  <c r="EG21" i="1"/>
  <c r="ET235" i="1"/>
  <c r="ET205" i="1" s="1"/>
  <c r="FE234" i="1"/>
  <c r="FG235" i="1"/>
  <c r="FG205" i="1" s="1"/>
  <c r="DG157" i="1"/>
  <c r="EM159" i="1"/>
  <c r="EG222" i="1"/>
  <c r="EG223" i="1" s="1"/>
  <c r="EM147" i="1"/>
  <c r="EM155" i="1"/>
  <c r="DG28" i="1"/>
  <c r="FE171" i="1"/>
  <c r="EM136" i="1"/>
  <c r="DR247" i="1"/>
  <c r="FE221" i="1"/>
  <c r="DG111" i="1"/>
  <c r="EM95" i="1"/>
  <c r="FL148" i="1"/>
  <c r="FM123" i="1"/>
  <c r="FL123" i="1" s="1"/>
  <c r="FL122" i="1"/>
  <c r="EY114" i="1"/>
  <c r="FE143" i="1"/>
  <c r="CD167" i="1"/>
  <c r="DG208" i="1"/>
  <c r="ES39" i="1"/>
  <c r="EY240" i="1"/>
  <c r="EZ241" i="1"/>
  <c r="EY241" i="1" s="1"/>
  <c r="FE244" i="1"/>
  <c r="FO246" i="1"/>
  <c r="FO263" i="1"/>
  <c r="ES262" i="1"/>
  <c r="EU263" i="1"/>
  <c r="EU246" i="1"/>
  <c r="DM263" i="1"/>
  <c r="DM246" i="1"/>
  <c r="ES261" i="1"/>
  <c r="FL213" i="1"/>
  <c r="FL206" i="1"/>
  <c r="DG206" i="1"/>
  <c r="DM233" i="1"/>
  <c r="DM234" i="1" s="1"/>
  <c r="DM235" i="1" s="1"/>
  <c r="DM249" i="1" s="1"/>
  <c r="EY259" i="1"/>
  <c r="EZ249" i="1"/>
  <c r="EY249" i="1" s="1"/>
  <c r="FL194" i="1"/>
  <c r="FE194" i="1"/>
  <c r="N124" i="1"/>
  <c r="FE271" i="1"/>
  <c r="FF237" i="1"/>
  <c r="ES24" i="1"/>
  <c r="FE24" i="1"/>
  <c r="DG195" i="1"/>
  <c r="EY191" i="1"/>
  <c r="FE130" i="1"/>
  <c r="FF131" i="1"/>
  <c r="FE131" i="1" s="1"/>
  <c r="FM255" i="1"/>
  <c r="FL255" i="1" s="1"/>
  <c r="FL254" i="1"/>
  <c r="FE188" i="1"/>
  <c r="FE99" i="1"/>
  <c r="EY132" i="1"/>
  <c r="EM121" i="1"/>
  <c r="ES136" i="1"/>
  <c r="FL136" i="1"/>
  <c r="DG270" i="1"/>
  <c r="EY21" i="1"/>
  <c r="EY78" i="1"/>
  <c r="EM45" i="1"/>
  <c r="DG129" i="1"/>
  <c r="EY95" i="1"/>
  <c r="DG177" i="1"/>
  <c r="DG101" i="1"/>
  <c r="DK123" i="1"/>
  <c r="DK23" i="1"/>
  <c r="DL23" i="1"/>
  <c r="DL123" i="1"/>
  <c r="DG183" i="1"/>
  <c r="DG264" i="1"/>
  <c r="FE114" i="1"/>
  <c r="ES114" i="1"/>
  <c r="ES143" i="1"/>
  <c r="BS168" i="1"/>
  <c r="BR168" i="1"/>
  <c r="DG257" i="1"/>
  <c r="ES208" i="1"/>
  <c r="EU209" i="1"/>
  <c r="ES209" i="1" s="1"/>
  <c r="DG137" i="1"/>
  <c r="DG39" i="1"/>
  <c r="EY244" i="1"/>
  <c r="ED246" i="1"/>
  <c r="ED263" i="1"/>
  <c r="DJ263" i="1"/>
  <c r="DJ246" i="1"/>
  <c r="EB263" i="1"/>
  <c r="EB246" i="1"/>
  <c r="DG261" i="1"/>
  <c r="EY184" i="1"/>
  <c r="ES259" i="1"/>
  <c r="ET249" i="1"/>
  <c r="ES249" i="1" s="1"/>
  <c r="EY124" i="1"/>
  <c r="EY197" i="1"/>
  <c r="EZ198" i="1"/>
  <c r="FL24" i="1"/>
  <c r="EM130" i="1"/>
  <c r="EM131" i="1" s="1"/>
  <c r="FL192" i="1"/>
  <c r="FM193" i="1"/>
  <c r="FL193" i="1" s="1"/>
  <c r="FG160" i="1"/>
  <c r="EP160" i="1"/>
  <c r="FH160" i="1"/>
  <c r="EC160" i="1"/>
  <c r="DK160" i="1"/>
  <c r="DK163" i="1" s="1"/>
  <c r="FN160" i="1"/>
  <c r="ED160" i="1"/>
  <c r="DL160" i="1"/>
  <c r="DL163" i="1" s="1"/>
  <c r="EZ160" i="1"/>
  <c r="DV160" i="1"/>
  <c r="FB160" i="1"/>
  <c r="EH160" i="1"/>
  <c r="ET160" i="1"/>
  <c r="DX160" i="1"/>
  <c r="EU160" i="1"/>
  <c r="EI160" i="1"/>
  <c r="FO160" i="1"/>
  <c r="EV160" i="1"/>
  <c r="DI160" i="1"/>
  <c r="DI163" i="1" s="1"/>
  <c r="DW160" i="1"/>
  <c r="EJ160" i="1"/>
  <c r="FM160" i="1"/>
  <c r="FF160" i="1"/>
  <c r="DH160" i="1"/>
  <c r="FI160" i="1"/>
  <c r="FA160" i="1"/>
  <c r="DJ160" i="1"/>
  <c r="DJ163" i="1" s="1"/>
  <c r="EN160" i="1"/>
  <c r="EO160" i="1"/>
  <c r="EB160" i="1"/>
  <c r="CQ160" i="1"/>
  <c r="CN160" i="1" s="1"/>
  <c r="CO160" i="1"/>
  <c r="CP160" i="1"/>
  <c r="CH201" i="1"/>
  <c r="L201" i="1"/>
  <c r="CJ201" i="1"/>
  <c r="DB201" i="1"/>
  <c r="DC201" i="1" s="1"/>
  <c r="AM202" i="1"/>
  <c r="FE176" i="1"/>
  <c r="ET127" i="1"/>
  <c r="ES127" i="1" s="1"/>
  <c r="ES126" i="1"/>
  <c r="FL44" i="1"/>
  <c r="EM109" i="1"/>
  <c r="FE98" i="1"/>
  <c r="FE122" i="1"/>
  <c r="FF123" i="1"/>
  <c r="FE123" i="1" s="1"/>
  <c r="ES122" i="1"/>
  <c r="ET123" i="1"/>
  <c r="ES123" i="1" s="1"/>
  <c r="DW61" i="1"/>
  <c r="DW145" i="1"/>
  <c r="EO246" i="1"/>
  <c r="EO263" i="1"/>
  <c r="DW263" i="1"/>
  <c r="DW246" i="1"/>
  <c r="EV263" i="1"/>
  <c r="EV246" i="1"/>
  <c r="EG261" i="1"/>
  <c r="ES233" i="1"/>
  <c r="EU234" i="1"/>
  <c r="EU235" i="1" s="1"/>
  <c r="EU205" i="1" s="1"/>
  <c r="FL211" i="1"/>
  <c r="FM212" i="1"/>
  <c r="FL212" i="1" s="1"/>
  <c r="ES194" i="1"/>
  <c r="EY194" i="1"/>
  <c r="EG271" i="1"/>
  <c r="EG237" i="1" s="1"/>
  <c r="EG256" i="1" s="1"/>
  <c r="EI237" i="1"/>
  <c r="EI256" i="1" s="1"/>
  <c r="AK177" i="1"/>
  <c r="AJ178" i="1"/>
  <c r="N130" i="1"/>
  <c r="DG192" i="1"/>
  <c r="DH193" i="1"/>
  <c r="DG193" i="1" s="1"/>
  <c r="EZ127" i="1"/>
  <c r="EY127" i="1" s="1"/>
  <c r="EY126" i="1"/>
  <c r="DG156" i="1"/>
  <c r="FL158" i="1"/>
  <c r="EM125" i="1"/>
  <c r="DR78" i="1"/>
  <c r="DG134" i="1"/>
  <c r="FE134" i="1"/>
  <c r="FL129" i="1"/>
  <c r="N104" i="1"/>
  <c r="FE257" i="1"/>
  <c r="EY208" i="1"/>
  <c r="FA209" i="1"/>
  <c r="EY209" i="1" s="1"/>
  <c r="FE137" i="1"/>
  <c r="ES240" i="1"/>
  <c r="ET241" i="1"/>
  <c r="ES241" i="1" s="1"/>
  <c r="DG258" i="1"/>
  <c r="EY215" i="1"/>
  <c r="DG244" i="1"/>
  <c r="EJ263" i="1"/>
  <c r="EJ246" i="1"/>
  <c r="FG263" i="1"/>
  <c r="FG246" i="1"/>
  <c r="N110" i="1"/>
  <c r="FL142" i="1"/>
  <c r="DG224" i="1"/>
  <c r="EG107" i="1"/>
  <c r="EG112" i="1" s="1"/>
  <c r="DG220" i="1"/>
  <c r="EY214" i="1"/>
  <c r="EG95" i="1"/>
  <c r="FE182" i="1"/>
  <c r="DG98" i="1"/>
  <c r="FL190" i="1"/>
  <c r="EY177" i="1"/>
  <c r="EZ123" i="1"/>
  <c r="EY123" i="1" s="1"/>
  <c r="EY122" i="1"/>
  <c r="DI23" i="1"/>
  <c r="DI123" i="1"/>
  <c r="ES175" i="1"/>
  <c r="AJ140" i="1"/>
  <c r="AK140" i="1" s="1"/>
  <c r="AK139" i="1"/>
  <c r="FE39" i="1"/>
  <c r="FE258" i="1"/>
  <c r="EH263" i="1"/>
  <c r="EH246" i="1"/>
  <c r="FI246" i="1"/>
  <c r="FI263" i="1"/>
  <c r="EG262" i="1"/>
  <c r="N46" i="1"/>
  <c r="DG213" i="1"/>
  <c r="EZ233" i="1"/>
  <c r="EY232" i="1"/>
  <c r="FL20" i="1"/>
  <c r="DG211" i="1"/>
  <c r="ES197" i="1"/>
  <c r="ET198" i="1"/>
  <c r="DG24" i="1"/>
  <c r="DG269" i="1"/>
  <c r="FF193" i="1"/>
  <c r="FE193" i="1" s="1"/>
  <c r="FE192" i="1"/>
  <c r="EZ255" i="1"/>
  <c r="EY255" i="1" s="1"/>
  <c r="EY254" i="1"/>
  <c r="DG126" i="1"/>
  <c r="FL25" i="1"/>
  <c r="EM28" i="1"/>
  <c r="EY157" i="1"/>
  <c r="ES157" i="1"/>
  <c r="EY159" i="1"/>
  <c r="EM42" i="1"/>
  <c r="ES247" i="1"/>
  <c r="DR29" i="1"/>
  <c r="EY221" i="1"/>
  <c r="DR38" i="1"/>
  <c r="DG149" i="1"/>
  <c r="ES149" i="1"/>
  <c r="FL149" i="1"/>
  <c r="EM33" i="1"/>
  <c r="EM93" i="1" s="1"/>
  <c r="EM158" i="1"/>
  <c r="DG78" i="1"/>
  <c r="EY216" i="1"/>
  <c r="DR170" i="1"/>
  <c r="EG182" i="1"/>
  <c r="EY48" i="1"/>
  <c r="DG148" i="1"/>
  <c r="FE190" i="1"/>
  <c r="EM177" i="1"/>
  <c r="FE177" i="1"/>
  <c r="FE165" i="1"/>
  <c r="DG165" i="1"/>
  <c r="ES16" i="1"/>
  <c r="BF158" i="1"/>
  <c r="BI157" i="1"/>
  <c r="FE208" i="1"/>
  <c r="FF209" i="1"/>
  <c r="FE209" i="1" s="1"/>
  <c r="FL137" i="1"/>
  <c r="FF241" i="1"/>
  <c r="FE241" i="1" s="1"/>
  <c r="FE240" i="1"/>
  <c r="CF50" i="1"/>
  <c r="CH50" i="1"/>
  <c r="K50" i="1"/>
  <c r="L50" i="1"/>
  <c r="CI50" i="1"/>
  <c r="CJ50" i="1"/>
  <c r="ES258" i="1"/>
  <c r="DG217" i="1"/>
  <c r="EH141" i="1"/>
  <c r="EG140" i="1"/>
  <c r="EG141" i="1" s="1"/>
  <c r="ET141" i="1"/>
  <c r="ES141" i="1" s="1"/>
  <c r="ES140" i="1"/>
  <c r="ES174" i="1"/>
  <c r="EY210" i="1"/>
  <c r="DG215" i="1"/>
  <c r="FL244" i="1"/>
  <c r="FE227" i="1"/>
  <c r="FF236" i="1"/>
  <c r="ET246" i="1"/>
  <c r="ET263" i="1"/>
  <c r="DX263" i="1"/>
  <c r="DX246" i="1"/>
  <c r="EP263" i="1"/>
  <c r="EP246" i="1"/>
  <c r="ES213" i="1"/>
  <c r="FM233" i="1"/>
  <c r="DG207" i="1"/>
  <c r="FH199" i="1"/>
  <c r="FH200" i="1" s="1"/>
  <c r="FH201" i="1" s="1"/>
  <c r="FH202" i="1" s="1"/>
  <c r="FH203" i="1" s="1"/>
  <c r="DG271" i="1"/>
  <c r="DH237" i="1"/>
  <c r="DG237" i="1" s="1"/>
  <c r="FE195" i="1"/>
  <c r="DG196" i="1"/>
  <c r="EG130" i="1"/>
  <c r="EG131" i="1" s="1"/>
  <c r="EG269" i="1"/>
  <c r="EG176" i="1"/>
  <c r="FF127" i="1"/>
  <c r="FE127" i="1" s="1"/>
  <c r="FE126" i="1"/>
  <c r="FL224" i="1"/>
  <c r="ES25" i="1"/>
  <c r="EY245" i="1"/>
  <c r="EM218" i="1"/>
  <c r="EM219" i="1" s="1"/>
  <c r="EY247" i="1"/>
  <c r="EG22" i="1"/>
  <c r="EG119" i="1" s="1"/>
  <c r="DG44" i="1"/>
  <c r="FE43" i="1"/>
  <c r="ES158" i="1"/>
  <c r="ES21" i="1"/>
  <c r="DR252" i="1"/>
  <c r="FE162" i="1"/>
  <c r="EY62" i="1"/>
  <c r="EM49" i="1"/>
  <c r="FE13" i="1"/>
  <c r="EM111" i="1"/>
  <c r="FL177" i="1"/>
  <c r="ES35" i="1"/>
  <c r="CH162" i="1"/>
  <c r="CI162" i="1"/>
  <c r="CJ162" i="1"/>
  <c r="L162" i="1"/>
  <c r="K162" i="1"/>
  <c r="CF162" i="1"/>
  <c r="CG162" i="1" s="1"/>
  <c r="M162" i="1" s="1"/>
  <c r="FL114" i="1"/>
  <c r="DG16" i="1"/>
  <c r="EY104" i="1"/>
  <c r="ES257" i="1"/>
  <c r="EY257" i="1"/>
  <c r="EY39" i="1"/>
  <c r="EG240" i="1"/>
  <c r="EG241" i="1" s="1"/>
  <c r="FL240" i="1"/>
  <c r="FM241" i="1"/>
  <c r="FL241" i="1" s="1"/>
  <c r="EI50" i="1"/>
  <c r="EO50" i="1"/>
  <c r="EY258" i="1"/>
  <c r="EY217" i="1"/>
  <c r="EZ141" i="1"/>
  <c r="EY141" i="1" s="1"/>
  <c r="EY140" i="1"/>
  <c r="EY225" i="1"/>
  <c r="DG210" i="1"/>
  <c r="FE187" i="1"/>
  <c r="ES187" i="1"/>
  <c r="FF246" i="1"/>
  <c r="FE262" i="1"/>
  <c r="FF263" i="1"/>
  <c r="DK246" i="1"/>
  <c r="DK263" i="1"/>
  <c r="FA246" i="1"/>
  <c r="FA263" i="1"/>
  <c r="BI139" i="1"/>
  <c r="BF140" i="1"/>
  <c r="BI140" i="1" s="1"/>
  <c r="ES232" i="1"/>
  <c r="EG207" i="1"/>
  <c r="EN249" i="1"/>
  <c r="EM259" i="1"/>
  <c r="EM249" i="1" s="1"/>
  <c r="FE181" i="1"/>
  <c r="FL181" i="1"/>
  <c r="EY110" i="1"/>
  <c r="FE196" i="1"/>
  <c r="EY269" i="1"/>
  <c r="EM192" i="1"/>
  <c r="EM193" i="1" s="1"/>
  <c r="ES142" i="1"/>
  <c r="ES224" i="1"/>
  <c r="DG188" i="1"/>
  <c r="ES188" i="1"/>
  <c r="EG116" i="1"/>
  <c r="FE100" i="1"/>
  <c r="EG220" i="1"/>
  <c r="FL132" i="1"/>
  <c r="EG42" i="1"/>
  <c r="ES171" i="1"/>
  <c r="DR239" i="1"/>
  <c r="FE44" i="1"/>
  <c r="EM221" i="1"/>
  <c r="EY43" i="1"/>
  <c r="EY29" i="1"/>
  <c r="EG158" i="1"/>
  <c r="EM268" i="1"/>
  <c r="EM78" i="1"/>
  <c r="FL94" i="1"/>
  <c r="FL144" i="1"/>
  <c r="FE101" i="1"/>
  <c r="DG189" i="1"/>
  <c r="EM189" i="1"/>
  <c r="EN123" i="1"/>
  <c r="EM122" i="1"/>
  <c r="EM123" i="1" s="1"/>
  <c r="EU23" i="1"/>
  <c r="FE35" i="1"/>
  <c r="FL16" i="1"/>
  <c r="FL257" i="1"/>
  <c r="BT51" i="1"/>
  <c r="CD51" i="1" s="1"/>
  <c r="J51" i="1"/>
  <c r="I51" i="1"/>
  <c r="EN141" i="1"/>
  <c r="EM140" i="1"/>
  <c r="EM141" i="1" s="1"/>
  <c r="FL140" i="1"/>
  <c r="FM141" i="1"/>
  <c r="FL141" i="1" s="1"/>
  <c r="EG244" i="1"/>
  <c r="ES227" i="1"/>
  <c r="ET236" i="1"/>
  <c r="EZ236" i="1"/>
  <c r="EY227" i="1"/>
  <c r="DH246" i="1"/>
  <c r="DH263" i="1"/>
  <c r="DG262" i="1"/>
  <c r="FM263" i="1"/>
  <c r="FL262" i="1"/>
  <c r="FM246" i="1"/>
  <c r="EY206" i="1"/>
  <c r="DK233" i="1"/>
  <c r="FL259" i="1"/>
  <c r="FM249" i="1"/>
  <c r="FL249" i="1" s="1"/>
  <c r="ES211" i="1"/>
  <c r="ET212" i="1"/>
  <c r="ES212" i="1" s="1"/>
  <c r="DG194" i="1"/>
  <c r="EM271" i="1"/>
  <c r="EM237" i="1" s="1"/>
  <c r="EM256" i="1" s="1"/>
  <c r="AJ158" i="1"/>
  <c r="AK157" i="1"/>
  <c r="DG181" i="1"/>
  <c r="DG12" i="1"/>
  <c r="FE191" i="1"/>
  <c r="FE178" i="1"/>
  <c r="FE142" i="1"/>
  <c r="DG176" i="1"/>
  <c r="FL126" i="1"/>
  <c r="FM127" i="1"/>
  <c r="FL127" i="1" s="1"/>
  <c r="FE220" i="1"/>
  <c r="FL162" i="1"/>
  <c r="DG182" i="1"/>
  <c r="EG101" i="1"/>
  <c r="FL208" i="1"/>
  <c r="FM209" i="1"/>
  <c r="FL209" i="1" s="1"/>
  <c r="DH241" i="1"/>
  <c r="DG241" i="1" s="1"/>
  <c r="DG240" i="1"/>
  <c r="FE217" i="1"/>
  <c r="FF141" i="1"/>
  <c r="FE141" i="1" s="1"/>
  <c r="FE140" i="1"/>
  <c r="DG140" i="1"/>
  <c r="DH141" i="1"/>
  <c r="DG141" i="1" s="1"/>
  <c r="EI263" i="1"/>
  <c r="EI246" i="1"/>
  <c r="DL263" i="1"/>
  <c r="DL246" i="1"/>
  <c r="FL197" i="1"/>
  <c r="FN198" i="1"/>
  <c r="DH198" i="1"/>
  <c r="DG197" i="1"/>
  <c r="ES196" i="1"/>
  <c r="EZ131" i="1"/>
  <c r="EY131" i="1" s="1"/>
  <c r="EY130" i="1"/>
  <c r="EY192" i="1"/>
  <c r="EZ193" i="1"/>
  <c r="EY193" i="1" s="1"/>
  <c r="ES192" i="1"/>
  <c r="ET193" i="1"/>
  <c r="ES193" i="1" s="1"/>
  <c r="AO101" i="1"/>
  <c r="DB100" i="1"/>
  <c r="DC100" i="1" s="1"/>
  <c r="DH255" i="1"/>
  <c r="DG255" i="1" s="1"/>
  <c r="DG254" i="1"/>
  <c r="EY142" i="1"/>
  <c r="EY99" i="1"/>
  <c r="FE146" i="1"/>
  <c r="DR109" i="1"/>
  <c r="DR81" i="1"/>
  <c r="FL165" i="1"/>
  <c r="N206" i="1"/>
  <c r="EG122" i="1"/>
  <c r="EG123" i="1" s="1"/>
  <c r="EH123" i="1"/>
  <c r="EM208" i="1"/>
  <c r="EM209" i="1" s="1"/>
  <c r="EN209" i="1"/>
  <c r="EC263" i="1"/>
  <c r="EC246" i="1"/>
  <c r="FH246" i="1"/>
  <c r="FH263" i="1"/>
  <c r="EM262" i="1"/>
  <c r="DH256" i="1"/>
  <c r="DG256" i="1" s="1"/>
  <c r="DG232" i="1"/>
  <c r="EY207" i="1"/>
  <c r="FE20" i="1"/>
  <c r="FE259" i="1"/>
  <c r="FF249" i="1"/>
  <c r="FE249" i="1" s="1"/>
  <c r="EY211" i="1"/>
  <c r="EZ212" i="1"/>
  <c r="EY212" i="1" s="1"/>
  <c r="FF198" i="1"/>
  <c r="FF199" i="1" s="1"/>
  <c r="FE197" i="1"/>
  <c r="EY178" i="1"/>
  <c r="FL110" i="1"/>
  <c r="ES130" i="1"/>
  <c r="ET131" i="1"/>
  <c r="ES131" i="1" s="1"/>
  <c r="EG126" i="1"/>
  <c r="EG127" i="1" s="1"/>
  <c r="EH127" i="1"/>
  <c r="DG107" i="1"/>
  <c r="EG161" i="1"/>
  <c r="DR250" i="1"/>
  <c r="EY182" i="1"/>
  <c r="EY101" i="1"/>
  <c r="N189" i="1"/>
  <c r="DG175" i="1"/>
  <c r="BI234" i="1"/>
  <c r="BF235" i="1"/>
  <c r="BI235" i="1" s="1"/>
  <c r="EG264" i="1"/>
  <c r="DG104" i="1"/>
  <c r="CI13" i="1"/>
  <c r="K13" i="1"/>
  <c r="CH13" i="1"/>
  <c r="CF13" i="1"/>
  <c r="CG13" i="1" s="1"/>
  <c r="M13" i="1" s="1"/>
  <c r="L13" i="1"/>
  <c r="CJ13" i="1"/>
  <c r="EN263" i="1"/>
  <c r="EN246" i="1"/>
  <c r="DI263" i="1"/>
  <c r="DI246" i="1"/>
  <c r="EZ263" i="1"/>
  <c r="EY262" i="1"/>
  <c r="EZ246" i="1"/>
  <c r="EZ237" i="1"/>
  <c r="EY271" i="1"/>
  <c r="FM131" i="1"/>
  <c r="FL131" i="1" s="1"/>
  <c r="FL130" i="1"/>
  <c r="EO61" i="1"/>
  <c r="EO145" i="1"/>
  <c r="ET255" i="1"/>
  <c r="ES255" i="1" s="1"/>
  <c r="ES254" i="1"/>
  <c r="DG147" i="1"/>
  <c r="EG248" i="1"/>
  <c r="EG253" i="1" s="1"/>
  <c r="ES147" i="1"/>
  <c r="DR245" i="1"/>
  <c r="ES42" i="1"/>
  <c r="ES239" i="1"/>
  <c r="FL105" i="1"/>
  <c r="ES44" i="1"/>
  <c r="EG270" i="1"/>
  <c r="DR128" i="1"/>
  <c r="DP170" i="1"/>
  <c r="DP81" i="1"/>
  <c r="DG43" i="1"/>
  <c r="DG268" i="1"/>
  <c r="EG252" i="1"/>
  <c r="EM226" i="1"/>
  <c r="FE120" i="1"/>
  <c r="ES134" i="1"/>
  <c r="FL134" i="1"/>
  <c r="EM129" i="1"/>
  <c r="DG48" i="1"/>
  <c r="ES148" i="1"/>
  <c r="N179" i="1"/>
  <c r="FL264" i="1"/>
  <c r="DG114" i="1"/>
  <c r="EG16" i="1"/>
  <c r="FE16" i="1"/>
  <c r="DG143" i="1"/>
  <c r="CF167" i="1"/>
  <c r="CH167" i="1"/>
  <c r="CJ167" i="1"/>
  <c r="L167" i="1"/>
  <c r="CI167" i="1"/>
  <c r="K167" i="1"/>
  <c r="DH61" i="1"/>
  <c r="DH145" i="1"/>
  <c r="ES137" i="1"/>
  <c r="EM39" i="1"/>
  <c r="FL217" i="1"/>
  <c r="FL225" i="1"/>
  <c r="DG174" i="1"/>
  <c r="FE210" i="1"/>
  <c r="FL227" i="1"/>
  <c r="FM236" i="1"/>
  <c r="FB263" i="1"/>
  <c r="FB246" i="1"/>
  <c r="DV246" i="1"/>
  <c r="DV263" i="1"/>
  <c r="FN263" i="1"/>
  <c r="FN246" i="1"/>
  <c r="EG259" i="1"/>
  <c r="EG249" i="1" s="1"/>
  <c r="EH249" i="1"/>
  <c r="FF212" i="1"/>
  <c r="FE212" i="1" s="1"/>
  <c r="FE211" i="1"/>
  <c r="FE124" i="1"/>
  <c r="DG124" i="1"/>
  <c r="FM237" i="1"/>
  <c r="FL271" i="1"/>
  <c r="ET237" i="1"/>
  <c r="ES271" i="1"/>
  <c r="EM197" i="1"/>
  <c r="EM198" i="1" s="1"/>
  <c r="EM199" i="1" s="1"/>
  <c r="EM200" i="1" s="1"/>
  <c r="EM201" i="1" s="1"/>
  <c r="EM202" i="1" s="1"/>
  <c r="EM203" i="1" s="1"/>
  <c r="FE12" i="1"/>
  <c r="DG110" i="1"/>
  <c r="FE110" i="1"/>
  <c r="CF160" i="1"/>
  <c r="CG160" i="1" s="1"/>
  <c r="M160" i="1" s="1"/>
  <c r="CH160" i="1"/>
  <c r="CJ160" i="1"/>
  <c r="CI160" i="1"/>
  <c r="L160" i="1"/>
  <c r="K160" i="1"/>
  <c r="FN186" i="1"/>
  <c r="EN127" i="1"/>
  <c r="EM126" i="1"/>
  <c r="EM127" i="1" s="1"/>
  <c r="EM188" i="1"/>
  <c r="EB82" i="1"/>
  <c r="DV82" i="1"/>
  <c r="EG80" i="1"/>
  <c r="EG81" i="1" s="1"/>
  <c r="EM80" i="1"/>
  <c r="ET223" i="1"/>
  <c r="ES223" i="1" s="1"/>
  <c r="ES222" i="1"/>
  <c r="EG157" i="1"/>
  <c r="DK97" i="1"/>
  <c r="DK119" i="1"/>
  <c r="EI47" i="1"/>
  <c r="EG26" i="1"/>
  <c r="EG47" i="1" s="1"/>
  <c r="EH66" i="1"/>
  <c r="EH260" i="1"/>
  <c r="EG250" i="1"/>
  <c r="FO66" i="1"/>
  <c r="FO260" i="1"/>
  <c r="DL66" i="1"/>
  <c r="DL260" i="1"/>
  <c r="CN3" i="1"/>
  <c r="CM10" i="1"/>
  <c r="CM7" i="1" s="1"/>
  <c r="CM60" i="1" s="1"/>
  <c r="CL60" i="1" s="1"/>
  <c r="H60" i="1" s="1"/>
  <c r="DH93" i="1"/>
  <c r="DH87" i="1"/>
  <c r="DG33" i="1"/>
  <c r="DL93" i="1"/>
  <c r="DL87" i="1"/>
  <c r="DL88" i="1" s="1"/>
  <c r="DL89" i="1" s="1"/>
  <c r="N248" i="1"/>
  <c r="DT10" i="1"/>
  <c r="DT7" i="1" s="1"/>
  <c r="DV11" i="1"/>
  <c r="DY10" i="1"/>
  <c r="FB11" i="1"/>
  <c r="EC11" i="1"/>
  <c r="EN47" i="1"/>
  <c r="EM26" i="1"/>
  <c r="EM47" i="1" s="1"/>
  <c r="EH228" i="1"/>
  <c r="EH229" i="1" s="1"/>
  <c r="EH230" i="1" s="1"/>
  <c r="EH37" i="1"/>
  <c r="EG36" i="1"/>
  <c r="EM170" i="1"/>
  <c r="DH253" i="1"/>
  <c r="DG253" i="1" s="1"/>
  <c r="DG248" i="1"/>
  <c r="DP221" i="1"/>
  <c r="DR221" i="1"/>
  <c r="N36" i="1"/>
  <c r="DL228" i="1"/>
  <c r="DL229" i="1" s="1"/>
  <c r="DL230" i="1" s="1"/>
  <c r="DL37" i="1"/>
  <c r="EY105" i="1"/>
  <c r="N22" i="1"/>
  <c r="EJ90" i="1"/>
  <c r="EJ91" i="1" s="1"/>
  <c r="EJ92" i="1" s="1"/>
  <c r="EJ72" i="1"/>
  <c r="EJ73" i="1" s="1"/>
  <c r="EJ74" i="1" s="1"/>
  <c r="EJ31" i="1"/>
  <c r="N216" i="1"/>
  <c r="DP30" i="1"/>
  <c r="DR30" i="1"/>
  <c r="EC90" i="1"/>
  <c r="EC91" i="1" s="1"/>
  <c r="EC92" i="1" s="1"/>
  <c r="EC72" i="1"/>
  <c r="EC73" i="1" s="1"/>
  <c r="EC74" i="1" s="1"/>
  <c r="EC31" i="1"/>
  <c r="ED90" i="1"/>
  <c r="ED91" i="1" s="1"/>
  <c r="ED92" i="1" s="1"/>
  <c r="ED72" i="1"/>
  <c r="ED73" i="1" s="1"/>
  <c r="ED74" i="1" s="1"/>
  <c r="ED31" i="1"/>
  <c r="EN243" i="1"/>
  <c r="EM242" i="1"/>
  <c r="EM243" i="1" s="1"/>
  <c r="FE242" i="1"/>
  <c r="FF243" i="1"/>
  <c r="FE243" i="1" s="1"/>
  <c r="FE138" i="1"/>
  <c r="EZ47" i="1"/>
  <c r="EY47" i="1" s="1"/>
  <c r="EY26" i="1"/>
  <c r="FE159" i="1"/>
  <c r="ES116" i="1"/>
  <c r="CH235" i="1"/>
  <c r="L235" i="1"/>
  <c r="CJ235" i="1"/>
  <c r="FE147" i="1"/>
  <c r="ES28" i="1"/>
  <c r="EY146" i="1"/>
  <c r="EZ219" i="1"/>
  <c r="EY219" i="1" s="1"/>
  <c r="EY218" i="1"/>
  <c r="FR50" i="1"/>
  <c r="AO51" i="1"/>
  <c r="DB50" i="1"/>
  <c r="DC50" i="1" s="1"/>
  <c r="DG247" i="1"/>
  <c r="DJ97" i="1"/>
  <c r="DJ119" i="1"/>
  <c r="EY44" i="1"/>
  <c r="EU90" i="1"/>
  <c r="EU91" i="1" s="1"/>
  <c r="EU92" i="1" s="1"/>
  <c r="EU72" i="1"/>
  <c r="EU73" i="1" s="1"/>
  <c r="EU74" i="1" s="1"/>
  <c r="EU31" i="1"/>
  <c r="EV90" i="1"/>
  <c r="EV91" i="1" s="1"/>
  <c r="EV92" i="1" s="1"/>
  <c r="EV72" i="1"/>
  <c r="EV73" i="1" s="1"/>
  <c r="EV74" i="1" s="1"/>
  <c r="EV31" i="1"/>
  <c r="FM90" i="1"/>
  <c r="FM72" i="1"/>
  <c r="FM31" i="1"/>
  <c r="FL30" i="1"/>
  <c r="EN66" i="1"/>
  <c r="EN260" i="1"/>
  <c r="DW66" i="1"/>
  <c r="DW260" i="1"/>
  <c r="DJ11" i="1"/>
  <c r="FI11" i="1"/>
  <c r="EJ11" i="1"/>
  <c r="EV93" i="1"/>
  <c r="EV87" i="1"/>
  <c r="EV88" i="1" s="1"/>
  <c r="EV89" i="1" s="1"/>
  <c r="EI93" i="1"/>
  <c r="EI87" i="1"/>
  <c r="EI88" i="1" s="1"/>
  <c r="EI89" i="1" s="1"/>
  <c r="EB93" i="1"/>
  <c r="EB87" i="1"/>
  <c r="EB88" i="1" s="1"/>
  <c r="EB89" i="1" s="1"/>
  <c r="FL267" i="1"/>
  <c r="DP43" i="1"/>
  <c r="FL29" i="1"/>
  <c r="DG158" i="1"/>
  <c r="FE158" i="1"/>
  <c r="DX228" i="1"/>
  <c r="DX229" i="1" s="1"/>
  <c r="DX230" i="1" s="1"/>
  <c r="DX37" i="1"/>
  <c r="ET228" i="1"/>
  <c r="ET37" i="1"/>
  <c r="ES36" i="1"/>
  <c r="FF228" i="1"/>
  <c r="FF37" i="1"/>
  <c r="FE36" i="1"/>
  <c r="BI201" i="1"/>
  <c r="BF202" i="1"/>
  <c r="BI202" i="1" s="1"/>
  <c r="DH164" i="1"/>
  <c r="DG164" i="1" s="1"/>
  <c r="DG162" i="1"/>
  <c r="AJ185" i="1"/>
  <c r="AK185" i="1" s="1"/>
  <c r="AK184" i="1"/>
  <c r="FE109" i="1"/>
  <c r="FL109" i="1"/>
  <c r="DG242" i="1"/>
  <c r="DH243" i="1"/>
  <c r="DG243" i="1" s="1"/>
  <c r="ES242" i="1"/>
  <c r="ET243" i="1"/>
  <c r="ES243" i="1" s="1"/>
  <c r="DG216" i="1"/>
  <c r="FR208" i="1"/>
  <c r="DA208" i="1"/>
  <c r="DB208" i="1"/>
  <c r="DC208" i="1" s="1"/>
  <c r="DR208" i="1" s="1"/>
  <c r="DM208" i="1"/>
  <c r="DP13" i="1"/>
  <c r="ES111" i="1"/>
  <c r="FL157" i="1"/>
  <c r="FE106" i="1"/>
  <c r="FL26" i="1"/>
  <c r="FM47" i="1"/>
  <c r="FL47" i="1" s="1"/>
  <c r="ES26" i="1"/>
  <c r="ET47" i="1"/>
  <c r="ES47" i="1" s="1"/>
  <c r="FR217" i="1"/>
  <c r="AO218" i="1"/>
  <c r="DB217" i="1"/>
  <c r="DC217" i="1" s="1"/>
  <c r="DM217" i="1"/>
  <c r="DA217" i="1"/>
  <c r="ES155" i="1"/>
  <c r="EM248" i="1"/>
  <c r="EM253" i="1" s="1"/>
  <c r="BF83" i="1"/>
  <c r="BI83" i="1" s="1"/>
  <c r="BI82" i="1"/>
  <c r="DR82" i="1" s="1"/>
  <c r="DG171" i="1"/>
  <c r="FL239" i="1"/>
  <c r="BF52" i="1"/>
  <c r="BI51" i="1"/>
  <c r="ES105" i="1"/>
  <c r="DH119" i="1"/>
  <c r="DG22" i="1"/>
  <c r="DH97" i="1"/>
  <c r="BF184" i="1"/>
  <c r="BI183" i="1"/>
  <c r="DR183" i="1" s="1"/>
  <c r="EH90" i="1"/>
  <c r="EH91" i="1" s="1"/>
  <c r="EH92" i="1" s="1"/>
  <c r="EH72" i="1"/>
  <c r="EH73" i="1" s="1"/>
  <c r="EH74" i="1" s="1"/>
  <c r="EH31" i="1"/>
  <c r="FN90" i="1"/>
  <c r="FN91" i="1" s="1"/>
  <c r="FN92" i="1" s="1"/>
  <c r="FN72" i="1"/>
  <c r="FN73" i="1" s="1"/>
  <c r="FN74" i="1" s="1"/>
  <c r="FN31" i="1"/>
  <c r="DH90" i="1"/>
  <c r="DH72" i="1"/>
  <c r="DG30" i="1"/>
  <c r="DH31" i="1"/>
  <c r="ES80" i="1"/>
  <c r="ET81" i="1"/>
  <c r="DX66" i="1"/>
  <c r="DX260" i="1"/>
  <c r="DI66" i="1"/>
  <c r="DI260" i="1"/>
  <c r="DG128" i="1"/>
  <c r="EO11" i="1"/>
  <c r="FL10" i="1"/>
  <c r="FM11" i="1"/>
  <c r="EY10" i="1"/>
  <c r="EZ11" i="1"/>
  <c r="DI87" i="1"/>
  <c r="DI88" i="1" s="1"/>
  <c r="DI89" i="1" s="1"/>
  <c r="DI93" i="1"/>
  <c r="ET93" i="1"/>
  <c r="ET87" i="1"/>
  <c r="ES33" i="1"/>
  <c r="EH93" i="1"/>
  <c r="EH87" i="1"/>
  <c r="EH88" i="1" s="1"/>
  <c r="EH89" i="1" s="1"/>
  <c r="BI190" i="1"/>
  <c r="BF191" i="1"/>
  <c r="FN228" i="1"/>
  <c r="FN229" i="1" s="1"/>
  <c r="FN230" i="1" s="1"/>
  <c r="FN37" i="1"/>
  <c r="ED228" i="1"/>
  <c r="ED229" i="1" s="1"/>
  <c r="ED230" i="1" s="1"/>
  <c r="ED37" i="1"/>
  <c r="FI228" i="1"/>
  <c r="FI229" i="1" s="1"/>
  <c r="FI230" i="1" s="1"/>
  <c r="FI37" i="1"/>
  <c r="EY162" i="1"/>
  <c r="FE226" i="1"/>
  <c r="EY125" i="1"/>
  <c r="DR62" i="1"/>
  <c r="ES78" i="1"/>
  <c r="FL78" i="1"/>
  <c r="DG94" i="1"/>
  <c r="FL166" i="1"/>
  <c r="AJ202" i="1"/>
  <c r="AK202" i="1" s="1"/>
  <c r="AK201" i="1"/>
  <c r="BF271" i="1"/>
  <c r="BI271" i="1" s="1"/>
  <c r="DR271" i="1" s="1"/>
  <c r="BI270" i="1"/>
  <c r="EY134" i="1"/>
  <c r="EY129" i="1"/>
  <c r="FL13" i="1"/>
  <c r="FE95" i="1"/>
  <c r="FE157" i="1"/>
  <c r="FL116" i="1"/>
  <c r="FF205" i="1"/>
  <c r="DG132" i="1"/>
  <c r="FL121" i="1"/>
  <c r="EY121" i="1"/>
  <c r="EY171" i="1"/>
  <c r="DG239" i="1"/>
  <c r="CF172" i="1"/>
  <c r="CG172" i="1" s="1"/>
  <c r="M172" i="1" s="1"/>
  <c r="CH172" i="1"/>
  <c r="CI172" i="1"/>
  <c r="K172" i="1"/>
  <c r="CJ172" i="1"/>
  <c r="L172" i="1"/>
  <c r="DM119" i="1"/>
  <c r="DM97" i="1"/>
  <c r="DI90" i="1"/>
  <c r="DI91" i="1" s="1"/>
  <c r="DI92" i="1" s="1"/>
  <c r="DI72" i="1"/>
  <c r="DI73" i="1" s="1"/>
  <c r="DI74" i="1" s="1"/>
  <c r="DI31" i="1"/>
  <c r="DJ72" i="1"/>
  <c r="DJ73" i="1" s="1"/>
  <c r="DJ74" i="1" s="1"/>
  <c r="DJ90" i="1"/>
  <c r="DJ91" i="1" s="1"/>
  <c r="DJ92" i="1" s="1"/>
  <c r="DJ31" i="1"/>
  <c r="DK90" i="1"/>
  <c r="DK91" i="1" s="1"/>
  <c r="DK92" i="1" s="1"/>
  <c r="DK72" i="1"/>
  <c r="DK73" i="1" s="1"/>
  <c r="DK74" i="1" s="1"/>
  <c r="DK31" i="1"/>
  <c r="EY80" i="1"/>
  <c r="EZ81" i="1"/>
  <c r="FE80" i="1"/>
  <c r="FF81" i="1"/>
  <c r="FH66" i="1"/>
  <c r="FH260" i="1"/>
  <c r="EJ260" i="1"/>
  <c r="EJ66" i="1"/>
  <c r="FM260" i="1"/>
  <c r="FM66" i="1"/>
  <c r="FL250" i="1"/>
  <c r="ES221" i="1"/>
  <c r="DI11" i="1"/>
  <c r="CP3" i="1"/>
  <c r="EP11" i="1"/>
  <c r="DM87" i="1"/>
  <c r="DM88" i="1" s="1"/>
  <c r="DM89" i="1" s="1"/>
  <c r="DM93" i="1"/>
  <c r="FF93" i="1"/>
  <c r="FF87" i="1"/>
  <c r="FE33" i="1"/>
  <c r="FH93" i="1"/>
  <c r="FH87" i="1"/>
  <c r="FH88" i="1" s="1"/>
  <c r="FH89" i="1" s="1"/>
  <c r="EY267" i="1"/>
  <c r="FE21" i="1"/>
  <c r="EO228" i="1"/>
  <c r="EO229" i="1" s="1"/>
  <c r="EO230" i="1" s="1"/>
  <c r="EO37" i="1"/>
  <c r="EM36" i="1"/>
  <c r="FO228" i="1"/>
  <c r="FO229" i="1" s="1"/>
  <c r="FO230" i="1" s="1"/>
  <c r="FO37" i="1"/>
  <c r="DP252" i="1"/>
  <c r="DP94" i="1"/>
  <c r="EY109" i="1"/>
  <c r="DR242" i="1"/>
  <c r="EY242" i="1"/>
  <c r="EZ243" i="1"/>
  <c r="EY243" i="1" s="1"/>
  <c r="CH168" i="1"/>
  <c r="CI168" i="1"/>
  <c r="K168" i="1"/>
  <c r="CF168" i="1"/>
  <c r="CJ168" i="1"/>
  <c r="L168" i="1"/>
  <c r="DP120" i="1"/>
  <c r="DG170" i="1"/>
  <c r="DG144" i="1"/>
  <c r="EY49" i="1"/>
  <c r="DP129" i="1"/>
  <c r="DP111" i="1"/>
  <c r="EY106" i="1"/>
  <c r="FE26" i="1"/>
  <c r="FF47" i="1"/>
  <c r="FE47" i="1" s="1"/>
  <c r="DG100" i="1"/>
  <c r="DG155" i="1"/>
  <c r="FL28" i="1"/>
  <c r="EM107" i="1"/>
  <c r="EM112" i="1" s="1"/>
  <c r="EY220" i="1"/>
  <c r="ES161" i="1"/>
  <c r="DG161" i="1"/>
  <c r="FL171" i="1"/>
  <c r="CQ172" i="1"/>
  <c r="N172" i="1" s="1"/>
  <c r="CO172" i="1"/>
  <c r="CP172" i="1"/>
  <c r="FR172" i="1"/>
  <c r="DK172" i="1"/>
  <c r="DW172" i="1"/>
  <c r="DW173" i="1" s="1"/>
  <c r="FI172" i="1"/>
  <c r="FI173" i="1" s="1"/>
  <c r="FG172" i="1"/>
  <c r="FG173" i="1" s="1"/>
  <c r="FM172" i="1"/>
  <c r="EH172" i="1"/>
  <c r="EH173" i="1" s="1"/>
  <c r="FN172" i="1"/>
  <c r="FN173" i="1" s="1"/>
  <c r="EB172" i="1"/>
  <c r="EB173" i="1" s="1"/>
  <c r="FH172" i="1"/>
  <c r="FH173" i="1" s="1"/>
  <c r="DM172" i="1"/>
  <c r="EZ172" i="1"/>
  <c r="ET172" i="1"/>
  <c r="FA172" i="1"/>
  <c r="FA173" i="1" s="1"/>
  <c r="EN172" i="1"/>
  <c r="EN173" i="1" s="1"/>
  <c r="DX172" i="1"/>
  <c r="DX173" i="1" s="1"/>
  <c r="FF172" i="1"/>
  <c r="DH172" i="1"/>
  <c r="DJ172" i="1"/>
  <c r="EV172" i="1"/>
  <c r="EV173" i="1" s="1"/>
  <c r="FO172" i="1"/>
  <c r="FO173" i="1" s="1"/>
  <c r="DV172" i="1"/>
  <c r="DV173" i="1" s="1"/>
  <c r="EC172" i="1"/>
  <c r="EC173" i="1" s="1"/>
  <c r="EP172" i="1"/>
  <c r="EP173" i="1" s="1"/>
  <c r="EU172" i="1"/>
  <c r="EU173" i="1" s="1"/>
  <c r="EJ172" i="1"/>
  <c r="EJ173" i="1" s="1"/>
  <c r="EI172" i="1"/>
  <c r="EI173" i="1" s="1"/>
  <c r="DI172" i="1"/>
  <c r="DL172" i="1"/>
  <c r="FB172" i="1"/>
  <c r="FB173" i="1" s="1"/>
  <c r="ED172" i="1"/>
  <c r="ED173" i="1" s="1"/>
  <c r="DA172" i="1"/>
  <c r="EO172" i="1"/>
  <c r="EO173" i="1" s="1"/>
  <c r="DR172" i="1"/>
  <c r="DP172" i="1"/>
  <c r="DL90" i="1"/>
  <c r="DL91" i="1" s="1"/>
  <c r="DL92" i="1" s="1"/>
  <c r="DL72" i="1"/>
  <c r="DL73" i="1" s="1"/>
  <c r="DL74" i="1" s="1"/>
  <c r="DL31" i="1"/>
  <c r="DM90" i="1"/>
  <c r="DM91" i="1" s="1"/>
  <c r="DM92" i="1" s="1"/>
  <c r="DM72" i="1"/>
  <c r="DM73" i="1" s="1"/>
  <c r="DM74" i="1" s="1"/>
  <c r="DM31" i="1"/>
  <c r="EO90" i="1"/>
  <c r="EO91" i="1" s="1"/>
  <c r="EO92" i="1" s="1"/>
  <c r="EO72" i="1"/>
  <c r="EO73" i="1" s="1"/>
  <c r="EO74" i="1" s="1"/>
  <c r="EO31" i="1"/>
  <c r="DB235" i="1"/>
  <c r="DC235" i="1" s="1"/>
  <c r="ET66" i="1"/>
  <c r="ET260" i="1"/>
  <c r="ES250" i="1"/>
  <c r="FA66" i="1"/>
  <c r="FA260" i="1"/>
  <c r="EO66" i="1"/>
  <c r="EO260" i="1"/>
  <c r="FL221" i="1"/>
  <c r="DG38" i="1"/>
  <c r="ES128" i="1"/>
  <c r="FE128" i="1"/>
  <c r="EN11" i="1"/>
  <c r="DZ10" i="1"/>
  <c r="DZ7" i="1" s="1"/>
  <c r="EB11" i="1"/>
  <c r="EV11" i="1"/>
  <c r="FI93" i="1"/>
  <c r="FI87" i="1"/>
  <c r="FI88" i="1" s="1"/>
  <c r="FI89" i="1" s="1"/>
  <c r="FM93" i="1"/>
  <c r="FM87" i="1"/>
  <c r="FL33" i="1"/>
  <c r="DP267" i="1"/>
  <c r="DG267" i="1"/>
  <c r="DP21" i="1"/>
  <c r="DJ228" i="1"/>
  <c r="DJ229" i="1" s="1"/>
  <c r="DJ230" i="1" s="1"/>
  <c r="DJ37" i="1"/>
  <c r="DI228" i="1"/>
  <c r="DI229" i="1" s="1"/>
  <c r="DI230" i="1" s="1"/>
  <c r="DI37" i="1"/>
  <c r="DR125" i="1"/>
  <c r="FE214" i="1"/>
  <c r="ES109" i="1"/>
  <c r="DG109" i="1"/>
  <c r="DP242" i="1"/>
  <c r="FM243" i="1"/>
  <c r="FL243" i="1" s="1"/>
  <c r="FL242" i="1"/>
  <c r="DR120" i="1"/>
  <c r="DR111" i="1"/>
  <c r="FM223" i="1"/>
  <c r="FL223" i="1" s="1"/>
  <c r="ES107" i="1"/>
  <c r="ET112" i="1"/>
  <c r="ES112" i="1" s="1"/>
  <c r="EY107" i="1"/>
  <c r="EZ112" i="1"/>
  <c r="EY112" i="1" s="1"/>
  <c r="AK44" i="1"/>
  <c r="AJ45" i="1"/>
  <c r="EN90" i="1"/>
  <c r="EN91" i="1" s="1"/>
  <c r="EN92" i="1" s="1"/>
  <c r="EN72" i="1"/>
  <c r="EN73" i="1" s="1"/>
  <c r="EN74" i="1" s="1"/>
  <c r="EN31" i="1"/>
  <c r="FH90" i="1"/>
  <c r="FH91" i="1" s="1"/>
  <c r="FH92" i="1" s="1"/>
  <c r="FH72" i="1"/>
  <c r="FH73" i="1" s="1"/>
  <c r="FH74" i="1" s="1"/>
  <c r="FH31" i="1"/>
  <c r="FI66" i="1"/>
  <c r="FI260" i="1"/>
  <c r="DJ66" i="1"/>
  <c r="DJ260" i="1"/>
  <c r="FF66" i="1"/>
  <c r="FF260" i="1"/>
  <c r="FE250" i="1"/>
  <c r="DG221" i="1"/>
  <c r="FL270" i="1"/>
  <c r="DM11" i="1"/>
  <c r="DG10" i="1"/>
  <c r="DH11" i="1"/>
  <c r="DO10" i="1"/>
  <c r="DO7" i="1" s="1"/>
  <c r="CO3" i="1"/>
  <c r="EI11" i="1"/>
  <c r="DR33" i="1"/>
  <c r="DJ93" i="1"/>
  <c r="DJ87" i="1"/>
  <c r="DJ88" i="1" s="1"/>
  <c r="DJ89" i="1" s="1"/>
  <c r="EZ87" i="1"/>
  <c r="EZ93" i="1"/>
  <c r="EY33" i="1"/>
  <c r="DX93" i="1"/>
  <c r="DX87" i="1"/>
  <c r="DX88" i="1" s="1"/>
  <c r="DX89" i="1" s="1"/>
  <c r="ES267" i="1"/>
  <c r="EB228" i="1"/>
  <c r="EB229" i="1" s="1"/>
  <c r="EB230" i="1" s="1"/>
  <c r="EB37" i="1"/>
  <c r="DW228" i="1"/>
  <c r="DW229" i="1" s="1"/>
  <c r="DW230" i="1" s="1"/>
  <c r="DW37" i="1"/>
  <c r="EN228" i="1"/>
  <c r="EN229" i="1" s="1"/>
  <c r="EN230" i="1" s="1"/>
  <c r="EN37" i="1"/>
  <c r="DR268" i="1"/>
  <c r="FR176" i="1"/>
  <c r="AO177" i="1"/>
  <c r="DB176" i="1"/>
  <c r="DC176" i="1" s="1"/>
  <c r="DR176" i="1" s="1"/>
  <c r="DA176" i="1"/>
  <c r="DM176" i="1"/>
  <c r="FL252" i="1"/>
  <c r="DP226" i="1"/>
  <c r="FE125" i="1"/>
  <c r="FE94" i="1"/>
  <c r="DR214" i="1"/>
  <c r="DP214" i="1"/>
  <c r="DP45" i="1"/>
  <c r="FE166" i="1"/>
  <c r="BF36" i="1"/>
  <c r="BI36" i="1" s="1"/>
  <c r="BI35" i="1"/>
  <c r="ES170" i="1"/>
  <c r="CJ63" i="1"/>
  <c r="CH63" i="1"/>
  <c r="L63" i="1"/>
  <c r="K63" i="1"/>
  <c r="CF63" i="1"/>
  <c r="CI63" i="1"/>
  <c r="EY138" i="1"/>
  <c r="CF117" i="1"/>
  <c r="L117" i="1"/>
  <c r="CJ117" i="1"/>
  <c r="CI117" i="1"/>
  <c r="K117" i="1"/>
  <c r="CH117" i="1"/>
  <c r="DG25" i="1"/>
  <c r="FE121" i="1"/>
  <c r="FE105" i="1"/>
  <c r="DI119" i="1"/>
  <c r="DI97" i="1"/>
  <c r="EP90" i="1"/>
  <c r="EP91" i="1" s="1"/>
  <c r="EP92" i="1" s="1"/>
  <c r="EP72" i="1"/>
  <c r="EP73" i="1" s="1"/>
  <c r="EP74" i="1" s="1"/>
  <c r="EP31" i="1"/>
  <c r="FG72" i="1"/>
  <c r="FG73" i="1" s="1"/>
  <c r="FG74" i="1" s="1"/>
  <c r="FG90" i="1"/>
  <c r="FG91" i="1" s="1"/>
  <c r="FG92" i="1" s="1"/>
  <c r="FG31" i="1"/>
  <c r="DW90" i="1"/>
  <c r="DW91" i="1" s="1"/>
  <c r="DW92" i="1" s="1"/>
  <c r="DW72" i="1"/>
  <c r="DW73" i="1" s="1"/>
  <c r="DW74" i="1" s="1"/>
  <c r="DW31" i="1"/>
  <c r="EB66" i="1"/>
  <c r="EB260" i="1"/>
  <c r="FB260" i="1"/>
  <c r="FB66" i="1"/>
  <c r="BF101" i="1"/>
  <c r="BI100" i="1"/>
  <c r="EG11" i="1"/>
  <c r="FH11" i="1"/>
  <c r="DV87" i="1"/>
  <c r="DV88" i="1" s="1"/>
  <c r="DV89" i="1" s="1"/>
  <c r="DV93" i="1"/>
  <c r="FN93" i="1"/>
  <c r="FN87" i="1"/>
  <c r="FN88" i="1" s="1"/>
  <c r="FN89" i="1" s="1"/>
  <c r="EN93" i="1"/>
  <c r="EN87" i="1"/>
  <c r="EN88" i="1" s="1"/>
  <c r="EN89" i="1" s="1"/>
  <c r="EP228" i="1"/>
  <c r="EP229" i="1" s="1"/>
  <c r="EP230" i="1" s="1"/>
  <c r="EP37" i="1"/>
  <c r="FG228" i="1"/>
  <c r="FG229" i="1" s="1"/>
  <c r="FG230" i="1" s="1"/>
  <c r="FG37" i="1"/>
  <c r="DP268" i="1"/>
  <c r="DG226" i="1"/>
  <c r="DR94" i="1"/>
  <c r="DG214" i="1"/>
  <c r="EG242" i="1"/>
  <c r="EG243" i="1" s="1"/>
  <c r="DP49" i="1"/>
  <c r="DG95" i="1"/>
  <c r="ES138" i="1"/>
  <c r="ES106" i="1"/>
  <c r="ES100" i="1"/>
  <c r="ET253" i="1"/>
  <c r="ES253" i="1" s="1"/>
  <c r="ES248" i="1"/>
  <c r="BF197" i="1"/>
  <c r="BI197" i="1" s="1"/>
  <c r="DR197" i="1" s="1"/>
  <c r="BI196" i="1"/>
  <c r="DP196" i="1" s="1"/>
  <c r="DG99" i="1"/>
  <c r="ES146" i="1"/>
  <c r="DH219" i="1"/>
  <c r="DG219" i="1" s="1"/>
  <c r="DG218" i="1"/>
  <c r="FE42" i="1"/>
  <c r="FL42" i="1"/>
  <c r="DG136" i="1"/>
  <c r="EY136" i="1"/>
  <c r="AJ36" i="1"/>
  <c r="AK36" i="1" s="1"/>
  <c r="AK35" i="1"/>
  <c r="AO151" i="1"/>
  <c r="DB150" i="1"/>
  <c r="DC150" i="1" s="1"/>
  <c r="DA150" i="1"/>
  <c r="DM150" i="1"/>
  <c r="EM22" i="1"/>
  <c r="EM119" i="1" s="1"/>
  <c r="FF90" i="1"/>
  <c r="FF72" i="1"/>
  <c r="FF31" i="1"/>
  <c r="FE30" i="1"/>
  <c r="DV90" i="1"/>
  <c r="DV91" i="1" s="1"/>
  <c r="DV92" i="1" s="1"/>
  <c r="DV72" i="1"/>
  <c r="DV73" i="1" s="1"/>
  <c r="DV74" i="1" s="1"/>
  <c r="DV31" i="1"/>
  <c r="EZ90" i="1"/>
  <c r="EZ72" i="1"/>
  <c r="EY30" i="1"/>
  <c r="EZ31" i="1"/>
  <c r="EV66" i="1"/>
  <c r="EV260" i="1"/>
  <c r="ED66" i="1"/>
  <c r="ED260" i="1"/>
  <c r="EP66" i="1"/>
  <c r="EP260" i="1"/>
  <c r="DR254" i="1"/>
  <c r="DR261" i="1"/>
  <c r="DR264" i="1"/>
  <c r="DR265" i="1"/>
  <c r="DR262" i="1"/>
  <c r="DR24" i="1"/>
  <c r="DR126" i="1"/>
  <c r="DR12" i="1"/>
  <c r="DR110" i="1"/>
  <c r="DR240" i="1"/>
  <c r="DR32" i="1"/>
  <c r="DR244" i="1"/>
  <c r="DR210" i="1"/>
  <c r="DR143" i="1"/>
  <c r="DR259" i="1"/>
  <c r="DR46" i="1"/>
  <c r="DR133" i="1"/>
  <c r="DR175" i="1"/>
  <c r="DR16" i="1"/>
  <c r="DR224" i="1"/>
  <c r="DR227" i="1"/>
  <c r="DR17" i="1"/>
  <c r="DR211" i="1"/>
  <c r="DR148" i="1"/>
  <c r="DR104" i="1"/>
  <c r="DR142" i="1"/>
  <c r="DR213" i="1"/>
  <c r="DR130" i="1"/>
  <c r="DR40" i="1"/>
  <c r="DR257" i="1"/>
  <c r="DR34" i="1"/>
  <c r="DR113" i="1"/>
  <c r="DR225" i="1"/>
  <c r="DR39" i="1"/>
  <c r="DR206" i="1"/>
  <c r="DR122" i="1"/>
  <c r="DR124" i="1"/>
  <c r="DR194" i="1"/>
  <c r="DR174" i="1"/>
  <c r="DR207" i="1"/>
  <c r="DR165" i="1"/>
  <c r="DR181" i="1"/>
  <c r="DR258" i="1"/>
  <c r="DR48" i="1"/>
  <c r="DR195" i="1"/>
  <c r="DR188" i="1"/>
  <c r="DR137" i="1"/>
  <c r="DR269" i="1"/>
  <c r="DR20" i="1"/>
  <c r="DR187" i="1"/>
  <c r="DR182" i="1"/>
  <c r="DR114" i="1"/>
  <c r="DR98" i="1"/>
  <c r="DR68" i="1"/>
  <c r="DR71" i="1"/>
  <c r="DR67" i="1"/>
  <c r="DR70" i="1"/>
  <c r="EH11" i="1"/>
  <c r="EU11" i="1"/>
  <c r="FE156" i="1"/>
  <c r="EO93" i="1"/>
  <c r="EO87" i="1"/>
  <c r="EO88" i="1" s="1"/>
  <c r="EO89" i="1" s="1"/>
  <c r="ED93" i="1"/>
  <c r="ED87" i="1"/>
  <c r="ED88" i="1" s="1"/>
  <c r="ED89" i="1" s="1"/>
  <c r="EU93" i="1"/>
  <c r="EU87" i="1"/>
  <c r="EU88" i="1" s="1"/>
  <c r="EU89" i="1" s="1"/>
  <c r="DR267" i="1"/>
  <c r="BF151" i="1"/>
  <c r="BI150" i="1"/>
  <c r="DR43" i="1"/>
  <c r="DP29" i="1"/>
  <c r="DG29" i="1"/>
  <c r="FH228" i="1"/>
  <c r="FH229" i="1" s="1"/>
  <c r="FH230" i="1" s="1"/>
  <c r="FH37" i="1"/>
  <c r="EJ228" i="1"/>
  <c r="EJ229" i="1" s="1"/>
  <c r="EJ230" i="1" s="1"/>
  <c r="EJ37" i="1"/>
  <c r="DV228" i="1"/>
  <c r="DV229" i="1" s="1"/>
  <c r="DV230" i="1" s="1"/>
  <c r="DV37" i="1"/>
  <c r="FL268" i="1"/>
  <c r="ES252" i="1"/>
  <c r="DR226" i="1"/>
  <c r="ES125" i="1"/>
  <c r="ES214" i="1"/>
  <c r="DG45" i="1"/>
  <c r="EY120" i="1"/>
  <c r="FR139" i="1"/>
  <c r="AO140" i="1"/>
  <c r="DB139" i="1"/>
  <c r="DC139" i="1" s="1"/>
  <c r="DP139" i="1" s="1"/>
  <c r="DA139" i="1"/>
  <c r="DM139" i="1"/>
  <c r="CD63" i="1"/>
  <c r="DG138" i="1"/>
  <c r="DG106" i="1"/>
  <c r="DG159" i="1"/>
  <c r="CD117" i="1"/>
  <c r="FR189" i="1"/>
  <c r="AO190" i="1"/>
  <c r="DA189" i="1"/>
  <c r="DM189" i="1"/>
  <c r="DB189" i="1"/>
  <c r="DC189" i="1" s="1"/>
  <c r="DP189" i="1" s="1"/>
  <c r="BF216" i="1"/>
  <c r="BI215" i="1"/>
  <c r="DR215" i="1" s="1"/>
  <c r="FL100" i="1"/>
  <c r="FE107" i="1"/>
  <c r="FF112" i="1"/>
  <c r="FE112" i="1" s="1"/>
  <c r="EY248" i="1"/>
  <c r="EZ253" i="1"/>
  <c r="EY253" i="1" s="1"/>
  <c r="ES99" i="1"/>
  <c r="DG121" i="1"/>
  <c r="FM219" i="1"/>
  <c r="FL219" i="1" s="1"/>
  <c r="FL218" i="1"/>
  <c r="FI90" i="1"/>
  <c r="FI91" i="1" s="1"/>
  <c r="FI92" i="1" s="1"/>
  <c r="FI72" i="1"/>
  <c r="FI73" i="1" s="1"/>
  <c r="FI74" i="1" s="1"/>
  <c r="FI31" i="1"/>
  <c r="FB90" i="1"/>
  <c r="FB91" i="1" s="1"/>
  <c r="FB92" i="1" s="1"/>
  <c r="FB72" i="1"/>
  <c r="FB73" i="1" s="1"/>
  <c r="FB74" i="1" s="1"/>
  <c r="FB31" i="1"/>
  <c r="FL80" i="1"/>
  <c r="FM81" i="1"/>
  <c r="BF178" i="1"/>
  <c r="BI177" i="1"/>
  <c r="EC66" i="1"/>
  <c r="EC260" i="1"/>
  <c r="EM66" i="1"/>
  <c r="EM260" i="1"/>
  <c r="FG260" i="1"/>
  <c r="FG66" i="1"/>
  <c r="ED11" i="1"/>
  <c r="FG11" i="1"/>
  <c r="DX11" i="1"/>
  <c r="FO11" i="1"/>
  <c r="FB93" i="1"/>
  <c r="FB87" i="1"/>
  <c r="FB88" i="1" s="1"/>
  <c r="FB89" i="1" s="1"/>
  <c r="EG93" i="1"/>
  <c r="EG87" i="1"/>
  <c r="EG88" i="1" s="1"/>
  <c r="EG89" i="1" s="1"/>
  <c r="FO93" i="1"/>
  <c r="FO87" i="1"/>
  <c r="FO88" i="1" s="1"/>
  <c r="FO89" i="1" s="1"/>
  <c r="ES29" i="1"/>
  <c r="EI228" i="1"/>
  <c r="EI229" i="1" s="1"/>
  <c r="EI230" i="1" s="1"/>
  <c r="EI37" i="1"/>
  <c r="FM228" i="1"/>
  <c r="FM37" i="1"/>
  <c r="FL36" i="1"/>
  <c r="FB228" i="1"/>
  <c r="FB229" i="1" s="1"/>
  <c r="FB230" i="1" s="1"/>
  <c r="FB37" i="1"/>
  <c r="EY252" i="1"/>
  <c r="DG252" i="1"/>
  <c r="DP125" i="1"/>
  <c r="DG125" i="1"/>
  <c r="FL214" i="1"/>
  <c r="DP109" i="1"/>
  <c r="DR166" i="1"/>
  <c r="DR134" i="1"/>
  <c r="DR129" i="1"/>
  <c r="FL155" i="1"/>
  <c r="FE28" i="1"/>
  <c r="FL107" i="1"/>
  <c r="FM112" i="1"/>
  <c r="FL112" i="1" s="1"/>
  <c r="FE248" i="1"/>
  <c r="FF253" i="1"/>
  <c r="FE253" i="1" s="1"/>
  <c r="DH235" i="1"/>
  <c r="FL245" i="1"/>
  <c r="L14" i="1"/>
  <c r="CJ14" i="1"/>
  <c r="CH14" i="1"/>
  <c r="CI14" i="1"/>
  <c r="CF14" i="1"/>
  <c r="K14" i="1"/>
  <c r="FL22" i="1"/>
  <c r="FM119" i="1"/>
  <c r="FL119" i="1" s="1"/>
  <c r="DL119" i="1"/>
  <c r="DL97" i="1"/>
  <c r="EY22" i="1"/>
  <c r="EZ119" i="1"/>
  <c r="EY119" i="1" s="1"/>
  <c r="FO90" i="1"/>
  <c r="FO91" i="1" s="1"/>
  <c r="FO92" i="1" s="1"/>
  <c r="FO72" i="1"/>
  <c r="FO73" i="1" s="1"/>
  <c r="FO74" i="1" s="1"/>
  <c r="FO31" i="1"/>
  <c r="EB90" i="1"/>
  <c r="EB91" i="1" s="1"/>
  <c r="EB92" i="1" s="1"/>
  <c r="EB72" i="1"/>
  <c r="EB73" i="1" s="1"/>
  <c r="EB74" i="1" s="1"/>
  <c r="EB31" i="1"/>
  <c r="DH66" i="1"/>
  <c r="DH260" i="1"/>
  <c r="DG250" i="1"/>
  <c r="EU66" i="1"/>
  <c r="EU260" i="1"/>
  <c r="AK100" i="1"/>
  <c r="AJ101" i="1"/>
  <c r="DL11" i="1"/>
  <c r="DP262" i="1"/>
  <c r="DP254" i="1"/>
  <c r="DP261" i="1"/>
  <c r="DP264" i="1"/>
  <c r="DP258" i="1"/>
  <c r="DP130" i="1"/>
  <c r="DP240" i="1"/>
  <c r="DP39" i="1"/>
  <c r="DP211" i="1"/>
  <c r="DP271" i="1"/>
  <c r="DP244" i="1"/>
  <c r="DP195" i="1"/>
  <c r="DP114" i="1"/>
  <c r="DP142" i="1"/>
  <c r="DP110" i="1"/>
  <c r="DP48" i="1"/>
  <c r="DP182" i="1"/>
  <c r="DP213" i="1"/>
  <c r="DP16" i="1"/>
  <c r="DP126" i="1"/>
  <c r="DP224" i="1"/>
  <c r="DP17" i="1"/>
  <c r="DP148" i="1"/>
  <c r="DP175" i="1"/>
  <c r="DP207" i="1"/>
  <c r="DP181" i="1"/>
  <c r="DP143" i="1"/>
  <c r="DP227" i="1"/>
  <c r="DP133" i="1"/>
  <c r="DP206" i="1"/>
  <c r="DP187" i="1"/>
  <c r="DP98" i="1"/>
  <c r="DP188" i="1"/>
  <c r="DP210" i="1"/>
  <c r="DP34" i="1"/>
  <c r="DP269" i="1"/>
  <c r="DP257" i="1"/>
  <c r="DP194" i="1"/>
  <c r="DP24" i="1"/>
  <c r="DP259" i="1"/>
  <c r="DP137" i="1"/>
  <c r="DP124" i="1"/>
  <c r="DP174" i="1"/>
  <c r="DP122" i="1"/>
  <c r="DP32" i="1"/>
  <c r="DP46" i="1"/>
  <c r="DP104" i="1"/>
  <c r="DP20" i="1"/>
  <c r="DP40" i="1"/>
  <c r="DP225" i="1"/>
  <c r="DP113" i="1"/>
  <c r="DP165" i="1"/>
  <c r="DP12" i="1"/>
  <c r="DP70" i="1"/>
  <c r="DP68" i="1"/>
  <c r="DP265" i="1"/>
  <c r="DP71" i="1"/>
  <c r="DP67" i="1"/>
  <c r="FE10" i="1"/>
  <c r="FF11" i="1"/>
  <c r="DP156" i="1"/>
  <c r="DW93" i="1"/>
  <c r="DW87" i="1"/>
  <c r="DW88" i="1" s="1"/>
  <c r="DW89" i="1" s="1"/>
  <c r="EJ93" i="1"/>
  <c r="EJ87" i="1"/>
  <c r="EJ88" i="1" s="1"/>
  <c r="EJ89" i="1" s="1"/>
  <c r="EC87" i="1"/>
  <c r="EC88" i="1" s="1"/>
  <c r="EC89" i="1" s="1"/>
  <c r="EC93" i="1"/>
  <c r="FE267" i="1"/>
  <c r="ES43" i="1"/>
  <c r="DK228" i="1"/>
  <c r="DK229" i="1" s="1"/>
  <c r="DK230" i="1" s="1"/>
  <c r="DK37" i="1"/>
  <c r="EZ228" i="1"/>
  <c r="EZ37" i="1"/>
  <c r="EY36" i="1"/>
  <c r="ES268" i="1"/>
  <c r="DP18" i="1"/>
  <c r="DP78" i="1"/>
  <c r="FL216" i="1"/>
  <c r="DR45" i="1"/>
  <c r="FL45" i="1"/>
  <c r="DP166" i="1"/>
  <c r="DP134" i="1"/>
  <c r="DR49" i="1"/>
  <c r="FE129" i="1"/>
  <c r="DR13" i="1"/>
  <c r="ES95" i="1"/>
  <c r="FM253" i="1"/>
  <c r="FL253" i="1" s="1"/>
  <c r="FL248" i="1"/>
  <c r="FE132" i="1"/>
  <c r="ES121" i="1"/>
  <c r="ET219" i="1"/>
  <c r="ES219" i="1" s="1"/>
  <c r="ES218" i="1"/>
  <c r="FE218" i="1"/>
  <c r="FF219" i="1"/>
  <c r="FE219" i="1" s="1"/>
  <c r="ES22" i="1"/>
  <c r="ET119" i="1"/>
  <c r="ES119" i="1" s="1"/>
  <c r="FF119" i="1"/>
  <c r="FE119" i="1" s="1"/>
  <c r="FE22" i="1"/>
  <c r="DX90" i="1"/>
  <c r="DX91" i="1" s="1"/>
  <c r="DX92" i="1" s="1"/>
  <c r="DX72" i="1"/>
  <c r="DX73" i="1" s="1"/>
  <c r="DX74" i="1" s="1"/>
  <c r="DX31" i="1"/>
  <c r="ET90" i="1"/>
  <c r="ET72" i="1"/>
  <c r="ES30" i="1"/>
  <c r="ET31" i="1"/>
  <c r="DG80" i="1"/>
  <c r="DH81" i="1"/>
  <c r="DM66" i="1"/>
  <c r="DM260" i="1"/>
  <c r="EI66" i="1"/>
  <c r="EI260" i="1"/>
  <c r="DK66" i="1"/>
  <c r="DK260" i="1"/>
  <c r="CQ3" i="1"/>
  <c r="N10" i="1"/>
  <c r="ES10" i="1"/>
  <c r="ET11" i="1"/>
  <c r="DW11" i="1"/>
  <c r="EP93" i="1"/>
  <c r="EP87" i="1"/>
  <c r="EP88" i="1" s="1"/>
  <c r="EP89" i="1" s="1"/>
  <c r="FG93" i="1"/>
  <c r="FG87" i="1"/>
  <c r="FG88" i="1" s="1"/>
  <c r="FG89" i="1" s="1"/>
  <c r="DG21" i="1"/>
  <c r="EV228" i="1"/>
  <c r="EV229" i="1" s="1"/>
  <c r="EV230" i="1" s="1"/>
  <c r="EV37" i="1"/>
  <c r="FA228" i="1"/>
  <c r="FA229" i="1" s="1"/>
  <c r="FA230" i="1" s="1"/>
  <c r="FA37" i="1"/>
  <c r="EC228" i="1"/>
  <c r="EC229" i="1" s="1"/>
  <c r="EC230" i="1" s="1"/>
  <c r="EC37" i="1"/>
  <c r="DR18" i="1"/>
  <c r="ES49" i="1"/>
  <c r="AK51" i="1"/>
  <c r="AJ52" i="1"/>
  <c r="FL106" i="1"/>
  <c r="FE25" i="1"/>
  <c r="EY100" i="1"/>
  <c r="EY155" i="1"/>
  <c r="CT88" i="1"/>
  <c r="H88" i="1"/>
  <c r="FM203" i="1"/>
  <c r="FE239" i="1"/>
  <c r="AJ218" i="1"/>
  <c r="AK218" i="1" s="1"/>
  <c r="AK217" i="1"/>
  <c r="FE247" i="1"/>
  <c r="EI90" i="1"/>
  <c r="EI91" i="1" s="1"/>
  <c r="EI92" i="1" s="1"/>
  <c r="EI72" i="1"/>
  <c r="EI73" i="1" s="1"/>
  <c r="EI74" i="1" s="1"/>
  <c r="EI31" i="1"/>
  <c r="FA90" i="1"/>
  <c r="FA91" i="1" s="1"/>
  <c r="FA92" i="1" s="1"/>
  <c r="FA72" i="1"/>
  <c r="FA73" i="1" s="1"/>
  <c r="FA74" i="1" s="1"/>
  <c r="FA31" i="1"/>
  <c r="EG30" i="1"/>
  <c r="FN66" i="1"/>
  <c r="FN260" i="1"/>
  <c r="EZ66" i="1"/>
  <c r="EY66" i="1" s="1"/>
  <c r="EZ260" i="1"/>
  <c r="EY260" i="1" s="1"/>
  <c r="EY250" i="1"/>
  <c r="DV66" i="1"/>
  <c r="DV260" i="1"/>
  <c r="FE270" i="1"/>
  <c r="EY128" i="1"/>
  <c r="DK11" i="1"/>
  <c r="FN11" i="1"/>
  <c r="FA11" i="1"/>
  <c r="DP149" i="1"/>
  <c r="DR149" i="1"/>
  <c r="EY149" i="1"/>
  <c r="DR156" i="1"/>
  <c r="EY156" i="1"/>
  <c r="DK93" i="1"/>
  <c r="DK87" i="1"/>
  <c r="DK88" i="1" s="1"/>
  <c r="DK89" i="1" s="1"/>
  <c r="FA93" i="1"/>
  <c r="FA87" i="1"/>
  <c r="FA88" i="1" s="1"/>
  <c r="FA89" i="1" s="1"/>
  <c r="FE29" i="1"/>
  <c r="DH228" i="1"/>
  <c r="DG36" i="1"/>
  <c r="DH37" i="1"/>
  <c r="EU228" i="1"/>
  <c r="EU229" i="1" s="1"/>
  <c r="EU230" i="1" s="1"/>
  <c r="EU37" i="1"/>
  <c r="EY268" i="1"/>
  <c r="FE268" i="1"/>
  <c r="ES216" i="1"/>
  <c r="FE216" i="1"/>
  <c r="EY166" i="1"/>
  <c r="FL120" i="1"/>
  <c r="DG120" i="1"/>
  <c r="EY13" i="1"/>
  <c r="FE111" i="1"/>
  <c r="FL111" i="1"/>
  <c r="DR95" i="1"/>
  <c r="DP95" i="1"/>
  <c r="DR196" i="1" l="1"/>
  <c r="CN166" i="1"/>
  <c r="FE62" i="1"/>
  <c r="DG17" i="1"/>
  <c r="EG13" i="1"/>
  <c r="ES205" i="1"/>
  <c r="DV50" i="1"/>
  <c r="DH50" i="1"/>
  <c r="DG50" i="1" s="1"/>
  <c r="DG49" i="1"/>
  <c r="CN17" i="1"/>
  <c r="CN172" i="1"/>
  <c r="FE222" i="1"/>
  <c r="FO50" i="1"/>
  <c r="EZ50" i="1"/>
  <c r="DV14" i="1"/>
  <c r="DV97" i="1" s="1"/>
  <c r="CP50" i="1"/>
  <c r="FH50" i="1"/>
  <c r="EM31" i="1"/>
  <c r="CO50" i="1"/>
  <c r="EP50" i="1"/>
  <c r="FM50" i="1"/>
  <c r="EM72" i="1"/>
  <c r="EM73" i="1" s="1"/>
  <c r="EM74" i="1" s="1"/>
  <c r="ET50" i="1"/>
  <c r="ES50" i="1" s="1"/>
  <c r="DI50" i="1"/>
  <c r="DX50" i="1"/>
  <c r="EC50" i="1"/>
  <c r="FF50" i="1"/>
  <c r="FE50" i="1" s="1"/>
  <c r="EN50" i="1"/>
  <c r="DK50" i="1"/>
  <c r="ED50" i="1"/>
  <c r="FB50" i="1"/>
  <c r="DM50" i="1"/>
  <c r="FG50" i="1"/>
  <c r="FI50" i="1"/>
  <c r="DW50" i="1"/>
  <c r="CN49" i="1"/>
  <c r="CN116" i="1"/>
  <c r="DP50" i="1"/>
  <c r="DL50" i="1"/>
  <c r="DJ50" i="1"/>
  <c r="FN50" i="1"/>
  <c r="CG50" i="1"/>
  <c r="M50" i="1" s="1"/>
  <c r="FE235" i="1"/>
  <c r="DA50" i="1"/>
  <c r="EJ50" i="1"/>
  <c r="EB50" i="1"/>
  <c r="EV50" i="1"/>
  <c r="FE205" i="1"/>
  <c r="EH50" i="1"/>
  <c r="EG50" i="1" s="1"/>
  <c r="FA50" i="1"/>
  <c r="CQ50" i="1"/>
  <c r="N50" i="1" s="1"/>
  <c r="FE116" i="1"/>
  <c r="DG116" i="1"/>
  <c r="EG49" i="1"/>
  <c r="DG166" i="1"/>
  <c r="EG166" i="1"/>
  <c r="ES166" i="1"/>
  <c r="DO85" i="1"/>
  <c r="CM85" i="1"/>
  <c r="CL85" i="1" s="1"/>
  <c r="H85" i="1" s="1"/>
  <c r="ES235" i="1"/>
  <c r="EM222" i="1"/>
  <c r="EM223" i="1" s="1"/>
  <c r="DP183" i="1"/>
  <c r="FR150" i="1"/>
  <c r="DR35" i="1"/>
  <c r="DV86" i="1"/>
  <c r="DT85" i="1"/>
  <c r="EB86" i="1"/>
  <c r="DZ85" i="1"/>
  <c r="FL84" i="1"/>
  <c r="FM85" i="1"/>
  <c r="ES84" i="1"/>
  <c r="ET85" i="1"/>
  <c r="CM76" i="1"/>
  <c r="CL76" i="1" s="1"/>
  <c r="H76" i="1" s="1"/>
  <c r="DO76" i="1"/>
  <c r="EY84" i="1"/>
  <c r="EZ85" i="1"/>
  <c r="FE84" i="1"/>
  <c r="FF85" i="1"/>
  <c r="DG84" i="1"/>
  <c r="DH85" i="1"/>
  <c r="DZ76" i="1"/>
  <c r="DT76" i="1"/>
  <c r="DG76" i="1"/>
  <c r="EY263" i="1"/>
  <c r="FE75" i="1"/>
  <c r="DP176" i="1"/>
  <c r="ES76" i="1"/>
  <c r="FL75" i="1"/>
  <c r="EM57" i="1"/>
  <c r="EM84" i="1" s="1"/>
  <c r="EM85" i="1" s="1"/>
  <c r="EM75" i="1"/>
  <c r="EM76" i="1" s="1"/>
  <c r="EU14" i="1"/>
  <c r="EU97" i="1" s="1"/>
  <c r="DO60" i="1"/>
  <c r="DR50" i="1"/>
  <c r="FO14" i="1"/>
  <c r="FO97" i="1" s="1"/>
  <c r="EM17" i="1"/>
  <c r="DG75" i="1"/>
  <c r="EJ14" i="1"/>
  <c r="EJ97" i="1" s="1"/>
  <c r="FO6" i="1"/>
  <c r="FL37" i="1"/>
  <c r="FL76" i="1"/>
  <c r="EG57" i="1"/>
  <c r="EG84" i="1" s="1"/>
  <c r="EG85" i="1" s="1"/>
  <c r="EG75" i="1"/>
  <c r="EG76" i="1" s="1"/>
  <c r="EY76" i="1"/>
  <c r="FE76" i="1"/>
  <c r="ES75" i="1"/>
  <c r="EY75" i="1"/>
  <c r="DT80" i="1"/>
  <c r="DT58" i="1"/>
  <c r="DZ80" i="1"/>
  <c r="DZ58" i="1"/>
  <c r="DO81" i="1"/>
  <c r="DO58" i="1"/>
  <c r="CM58" i="1"/>
  <c r="CL58" i="1" s="1"/>
  <c r="H58" i="1" s="1"/>
  <c r="DR150" i="1"/>
  <c r="ES17" i="1"/>
  <c r="CM57" i="1"/>
  <c r="CL57" i="1" s="1"/>
  <c r="H57" i="1" s="1"/>
  <c r="DZ57" i="1"/>
  <c r="DT57" i="1"/>
  <c r="CM59" i="1"/>
  <c r="CL59" i="1" s="1"/>
  <c r="H59" i="1" s="1"/>
  <c r="DO59" i="1"/>
  <c r="DG184" i="1"/>
  <c r="FL17" i="1"/>
  <c r="FL62" i="1"/>
  <c r="DO57" i="1"/>
  <c r="EB60" i="1"/>
  <c r="DZ60" i="1" s="1"/>
  <c r="DZ59" i="1"/>
  <c r="DV60" i="1"/>
  <c r="DT60" i="1" s="1"/>
  <c r="DT59" i="1"/>
  <c r="EG59" i="1"/>
  <c r="EM59" i="1"/>
  <c r="EY57" i="1"/>
  <c r="EZ59" i="1"/>
  <c r="FE57" i="1"/>
  <c r="FF59" i="1"/>
  <c r="EZ223" i="1"/>
  <c r="EY223" i="1" s="1"/>
  <c r="ES246" i="1"/>
  <c r="DG57" i="1"/>
  <c r="DH59" i="1"/>
  <c r="DG13" i="1"/>
  <c r="EM13" i="1"/>
  <c r="FL57" i="1"/>
  <c r="FM59" i="1"/>
  <c r="ES57" i="1"/>
  <c r="ET59" i="1"/>
  <c r="ES62" i="1"/>
  <c r="DP35" i="1"/>
  <c r="EM87" i="1"/>
  <c r="EM88" i="1" s="1"/>
  <c r="EM89" i="1" s="1"/>
  <c r="EU6" i="1"/>
  <c r="FE17" i="1"/>
  <c r="DH14" i="1"/>
  <c r="DH5" i="1" s="1"/>
  <c r="ET14" i="1"/>
  <c r="ET5" i="1" s="1"/>
  <c r="EH14" i="1"/>
  <c r="EH97" i="1" s="1"/>
  <c r="CQ14" i="1"/>
  <c r="N14" i="1" s="1"/>
  <c r="DR14" i="1"/>
  <c r="DP14" i="1"/>
  <c r="EI14" i="1"/>
  <c r="EI97" i="1" s="1"/>
  <c r="CO14" i="1"/>
  <c r="CI102" i="1"/>
  <c r="K102" i="1"/>
  <c r="EH102" i="1"/>
  <c r="EN102" i="1"/>
  <c r="FF102" i="1"/>
  <c r="DH102" i="1"/>
  <c r="FM102" i="1"/>
  <c r="DJ102" i="1"/>
  <c r="DV102" i="1"/>
  <c r="DV23" i="1" s="1"/>
  <c r="ET102" i="1"/>
  <c r="EZ102" i="1"/>
  <c r="EB102" i="1"/>
  <c r="EB23" i="1" s="1"/>
  <c r="DP208" i="1"/>
  <c r="DL14" i="1"/>
  <c r="DL103" i="1" s="1"/>
  <c r="DK14" i="1"/>
  <c r="DK103" i="1" s="1"/>
  <c r="EZ14" i="1"/>
  <c r="EZ5" i="1" s="1"/>
  <c r="CP14" i="1"/>
  <c r="DW14" i="1"/>
  <c r="DW97" i="1" s="1"/>
  <c r="ED14" i="1"/>
  <c r="ED97" i="1" s="1"/>
  <c r="EP14" i="1"/>
  <c r="EP97" i="1" s="1"/>
  <c r="FB14" i="1"/>
  <c r="FB97" i="1" s="1"/>
  <c r="FM14" i="1"/>
  <c r="FH14" i="1"/>
  <c r="FH97" i="1" s="1"/>
  <c r="FR14" i="1"/>
  <c r="EC14" i="1"/>
  <c r="EC97" i="1" s="1"/>
  <c r="DJ14" i="1"/>
  <c r="DJ103" i="1" s="1"/>
  <c r="FG14" i="1"/>
  <c r="FG97" i="1" s="1"/>
  <c r="EY246" i="1"/>
  <c r="ET6" i="1"/>
  <c r="ES31" i="1"/>
  <c r="DP197" i="1"/>
  <c r="EV14" i="1"/>
  <c r="EV97" i="1" s="1"/>
  <c r="EO14" i="1"/>
  <c r="EO97" i="1" s="1"/>
  <c r="FF14" i="1"/>
  <c r="FF5" i="1" s="1"/>
  <c r="DM14" i="1"/>
  <c r="DM103" i="1" s="1"/>
  <c r="FI14" i="1"/>
  <c r="FI97" i="1" s="1"/>
  <c r="DX14" i="1"/>
  <c r="DX97" i="1" s="1"/>
  <c r="CG14" i="1"/>
  <c r="M14" i="1" s="1"/>
  <c r="DA14" i="1"/>
  <c r="EN14" i="1"/>
  <c r="EN97" i="1" s="1"/>
  <c r="FA14" i="1"/>
  <c r="FA97" i="1" s="1"/>
  <c r="EB14" i="1"/>
  <c r="EB97" i="1" s="1"/>
  <c r="DI14" i="1"/>
  <c r="DI103" i="1" s="1"/>
  <c r="FN14" i="1"/>
  <c r="FN97" i="1" s="1"/>
  <c r="DG46" i="1"/>
  <c r="DJ61" i="1"/>
  <c r="DG61" i="1" s="1"/>
  <c r="DJ145" i="1"/>
  <c r="DG145" i="1" s="1"/>
  <c r="ET61" i="1"/>
  <c r="ES61" i="1" s="1"/>
  <c r="ES46" i="1"/>
  <c r="ET145" i="1"/>
  <c r="ES145" i="1" s="1"/>
  <c r="FE11" i="1"/>
  <c r="DG260" i="1"/>
  <c r="EZ145" i="1"/>
  <c r="EY145" i="1" s="1"/>
  <c r="EY46" i="1"/>
  <c r="EZ61" i="1"/>
  <c r="EY61" i="1" s="1"/>
  <c r="EB61" i="1"/>
  <c r="EB145" i="1"/>
  <c r="AJ191" i="1"/>
  <c r="AK190" i="1"/>
  <c r="FF145" i="1"/>
  <c r="FE145" i="1" s="1"/>
  <c r="FE46" i="1"/>
  <c r="FF61" i="1"/>
  <c r="FE61" i="1" s="1"/>
  <c r="K179" i="1"/>
  <c r="CI179" i="1"/>
  <c r="EZ179" i="1"/>
  <c r="FF179" i="1"/>
  <c r="ET179" i="1"/>
  <c r="EB179" i="1"/>
  <c r="EB180" i="1" s="1"/>
  <c r="DV179" i="1"/>
  <c r="DV180" i="1" s="1"/>
  <c r="FM179" i="1"/>
  <c r="DJ179" i="1"/>
  <c r="EN179" i="1"/>
  <c r="DH179" i="1"/>
  <c r="EH179" i="1"/>
  <c r="CD52" i="1"/>
  <c r="FM61" i="1"/>
  <c r="FL61" i="1" s="1"/>
  <c r="FL46" i="1"/>
  <c r="FM145" i="1"/>
  <c r="FL145" i="1" s="1"/>
  <c r="EM160" i="1"/>
  <c r="DI18" i="1"/>
  <c r="DI19" i="1" s="1"/>
  <c r="EP18" i="1"/>
  <c r="EP19" i="1" s="1"/>
  <c r="FB18" i="1"/>
  <c r="FB19" i="1" s="1"/>
  <c r="EO18" i="1"/>
  <c r="EO19" i="1" s="1"/>
  <c r="EH18" i="1"/>
  <c r="DW18" i="1"/>
  <c r="DW19" i="1" s="1"/>
  <c r="CG18" i="1"/>
  <c r="M18" i="1" s="1"/>
  <c r="DX18" i="1"/>
  <c r="DX19" i="1" s="1"/>
  <c r="FN18" i="1"/>
  <c r="FN19" i="1" s="1"/>
  <c r="FG18" i="1"/>
  <c r="FG19" i="1" s="1"/>
  <c r="FI18" i="1"/>
  <c r="FI19" i="1" s="1"/>
  <c r="EU18" i="1"/>
  <c r="EU19" i="1" s="1"/>
  <c r="EZ18" i="1"/>
  <c r="FH18" i="1"/>
  <c r="FH19" i="1" s="1"/>
  <c r="DH18" i="1"/>
  <c r="DV18" i="1"/>
  <c r="DV19" i="1" s="1"/>
  <c r="DM18" i="1"/>
  <c r="DM19" i="1" s="1"/>
  <c r="EI18" i="1"/>
  <c r="EI19" i="1" s="1"/>
  <c r="DK18" i="1"/>
  <c r="DK19" i="1" s="1"/>
  <c r="FA18" i="1"/>
  <c r="FA19" i="1" s="1"/>
  <c r="ED18" i="1"/>
  <c r="ED19" i="1" s="1"/>
  <c r="EJ18" i="1"/>
  <c r="EJ19" i="1" s="1"/>
  <c r="EC18" i="1"/>
  <c r="EC19" i="1" s="1"/>
  <c r="CO18" i="1"/>
  <c r="FF18" i="1"/>
  <c r="FO18" i="1"/>
  <c r="FO19" i="1" s="1"/>
  <c r="EB18" i="1"/>
  <c r="EB19" i="1" s="1"/>
  <c r="ET18" i="1"/>
  <c r="CP18" i="1"/>
  <c r="DA18" i="1"/>
  <c r="EV18" i="1"/>
  <c r="EV19" i="1" s="1"/>
  <c r="CQ18" i="1"/>
  <c r="CN18" i="1" s="1"/>
  <c r="DJ18" i="1"/>
  <c r="DJ19" i="1" s="1"/>
  <c r="EN18" i="1"/>
  <c r="FR18" i="1"/>
  <c r="FM18" i="1"/>
  <c r="DL18" i="1"/>
  <c r="DL19" i="1" s="1"/>
  <c r="CF52" i="1"/>
  <c r="K52" i="1"/>
  <c r="CH52" i="1"/>
  <c r="CI52" i="1"/>
  <c r="CJ52" i="1"/>
  <c r="L52" i="1"/>
  <c r="EN61" i="1"/>
  <c r="EM46" i="1"/>
  <c r="EN145" i="1"/>
  <c r="EM50" i="1"/>
  <c r="DV61" i="1"/>
  <c r="DV145" i="1"/>
  <c r="EY160" i="1"/>
  <c r="AP151" i="1"/>
  <c r="CN151" i="1" s="1"/>
  <c r="CI150" i="1"/>
  <c r="K150" i="1"/>
  <c r="EH150" i="1"/>
  <c r="EG150" i="1" s="1"/>
  <c r="DH150" i="1"/>
  <c r="FM150" i="1"/>
  <c r="FL150" i="1" s="1"/>
  <c r="DJ150" i="1"/>
  <c r="EN150" i="1"/>
  <c r="EM150" i="1" s="1"/>
  <c r="FF150" i="1"/>
  <c r="FE150" i="1" s="1"/>
  <c r="EB150" i="1"/>
  <c r="DZ150" i="1" s="1"/>
  <c r="EZ150" i="1"/>
  <c r="EY150" i="1" s="1"/>
  <c r="DV150" i="1"/>
  <c r="DT150" i="1" s="1"/>
  <c r="ET150" i="1"/>
  <c r="ES150" i="1" s="1"/>
  <c r="T54" i="1"/>
  <c r="J53" i="1"/>
  <c r="I53" i="1"/>
  <c r="BR53" i="1"/>
  <c r="BS53" i="1"/>
  <c r="EH61" i="1"/>
  <c r="EH145" i="1"/>
  <c r="EG46" i="1"/>
  <c r="DG66" i="1"/>
  <c r="FE160" i="1"/>
  <c r="DZ172" i="1"/>
  <c r="CD168" i="1"/>
  <c r="ES263" i="1"/>
  <c r="DK6" i="1"/>
  <c r="DZ81" i="1"/>
  <c r="DB36" i="1"/>
  <c r="DC36" i="1" s="1"/>
  <c r="DP36" i="1" s="1"/>
  <c r="FR36" i="1"/>
  <c r="DA36" i="1"/>
  <c r="DM36" i="1"/>
  <c r="EY50" i="1"/>
  <c r="EG160" i="1"/>
  <c r="K185" i="1"/>
  <c r="CI185" i="1"/>
  <c r="FR185" i="1"/>
  <c r="ET185" i="1"/>
  <c r="EZ185" i="1"/>
  <c r="DJ185" i="1"/>
  <c r="DJ47" i="1" s="1"/>
  <c r="DH185" i="1"/>
  <c r="DV185" i="1"/>
  <c r="DV186" i="1" s="1"/>
  <c r="EN185" i="1"/>
  <c r="FM185" i="1"/>
  <c r="EH185" i="1"/>
  <c r="FF185" i="1"/>
  <c r="EB185" i="1"/>
  <c r="EB186" i="1" s="1"/>
  <c r="FE246" i="1"/>
  <c r="DB159" i="1"/>
  <c r="DC159" i="1" s="1"/>
  <c r="AO160" i="1"/>
  <c r="DM159" i="1"/>
  <c r="DA159" i="1"/>
  <c r="FR159" i="1"/>
  <c r="FL263" i="1"/>
  <c r="DB185" i="1"/>
  <c r="DC185" i="1" s="1"/>
  <c r="DA185" i="1"/>
  <c r="DM185" i="1"/>
  <c r="DM47" i="1" s="1"/>
  <c r="FL93" i="1"/>
  <c r="FE198" i="1"/>
  <c r="FL50" i="1"/>
  <c r="ET256" i="1"/>
  <c r="ES256" i="1" s="1"/>
  <c r="ES237" i="1"/>
  <c r="DT81" i="1"/>
  <c r="FL246" i="1"/>
  <c r="DP157" i="1"/>
  <c r="DR157" i="1"/>
  <c r="EY233" i="1"/>
  <c r="EZ234" i="1"/>
  <c r="FL160" i="1"/>
  <c r="FL237" i="1"/>
  <c r="FM256" i="1"/>
  <c r="FL256" i="1" s="1"/>
  <c r="AJ159" i="1"/>
  <c r="AK158" i="1"/>
  <c r="FE236" i="1"/>
  <c r="FF266" i="1"/>
  <c r="FE266" i="1" s="1"/>
  <c r="BF159" i="1"/>
  <c r="BI158" i="1"/>
  <c r="DO158" i="1" s="1"/>
  <c r="N160" i="1"/>
  <c r="DG246" i="1"/>
  <c r="EY37" i="1"/>
  <c r="DP215" i="1"/>
  <c r="EE10" i="1"/>
  <c r="EE7" i="1" s="1"/>
  <c r="EE195" i="1" s="1"/>
  <c r="CM82" i="1"/>
  <c r="CL82" i="1" s="1"/>
  <c r="H82" i="1" s="1"/>
  <c r="EY237" i="1"/>
  <c r="EZ256" i="1"/>
  <c r="EY256" i="1" s="1"/>
  <c r="DG263" i="1"/>
  <c r="FL233" i="1"/>
  <c r="FM234" i="1"/>
  <c r="EG263" i="1"/>
  <c r="EG246" i="1"/>
  <c r="EY198" i="1"/>
  <c r="EZ199" i="1"/>
  <c r="FM167" i="1"/>
  <c r="FH167" i="1"/>
  <c r="DK167" i="1"/>
  <c r="EV167" i="1"/>
  <c r="EJ167" i="1"/>
  <c r="ED167" i="1"/>
  <c r="DH167" i="1"/>
  <c r="DL167" i="1"/>
  <c r="CO167" i="1"/>
  <c r="FO167" i="1"/>
  <c r="FI167" i="1"/>
  <c r="FB167" i="1"/>
  <c r="CP167" i="1"/>
  <c r="EN167" i="1"/>
  <c r="DW167" i="1"/>
  <c r="EB167" i="1"/>
  <c r="CQ167" i="1"/>
  <c r="CN167" i="1" s="1"/>
  <c r="FN167" i="1"/>
  <c r="DI167" i="1"/>
  <c r="DP167" i="1"/>
  <c r="FR167" i="1"/>
  <c r="EI167" i="1"/>
  <c r="EZ167" i="1"/>
  <c r="DR167" i="1"/>
  <c r="EU167" i="1"/>
  <c r="FF167" i="1"/>
  <c r="DX167" i="1"/>
  <c r="EC167" i="1"/>
  <c r="DV167" i="1"/>
  <c r="DJ167" i="1"/>
  <c r="DA167" i="1"/>
  <c r="FG167" i="1"/>
  <c r="CG167" i="1"/>
  <c r="M167" i="1" s="1"/>
  <c r="EP167" i="1"/>
  <c r="EH167" i="1"/>
  <c r="FA167" i="1"/>
  <c r="ET167" i="1"/>
  <c r="ES167" i="1" s="1"/>
  <c r="DM167" i="1"/>
  <c r="EO167" i="1"/>
  <c r="DO82" i="1"/>
  <c r="FM266" i="1"/>
  <c r="FL266" i="1" s="1"/>
  <c r="FL236" i="1"/>
  <c r="CF51" i="1"/>
  <c r="CG51" i="1" s="1"/>
  <c r="M51" i="1" s="1"/>
  <c r="CJ51" i="1"/>
  <c r="K51" i="1"/>
  <c r="CI51" i="1"/>
  <c r="CH51" i="1"/>
  <c r="L51" i="1"/>
  <c r="DP82" i="1"/>
  <c r="CP51" i="1"/>
  <c r="DX51" i="1"/>
  <c r="ED51" i="1"/>
  <c r="CQ51" i="1"/>
  <c r="CN51" i="1" s="1"/>
  <c r="DK51" i="1"/>
  <c r="EH51" i="1"/>
  <c r="CO51" i="1"/>
  <c r="DW51" i="1"/>
  <c r="EP51" i="1"/>
  <c r="EI51" i="1"/>
  <c r="EU51" i="1"/>
  <c r="FF51" i="1"/>
  <c r="DH51" i="1"/>
  <c r="EB51" i="1"/>
  <c r="EV51" i="1"/>
  <c r="FO51" i="1"/>
  <c r="EC51" i="1"/>
  <c r="EZ51" i="1"/>
  <c r="FA51" i="1"/>
  <c r="DV51" i="1"/>
  <c r="FB51" i="1"/>
  <c r="ET51" i="1"/>
  <c r="DL51" i="1"/>
  <c r="FN51" i="1"/>
  <c r="DI51" i="1"/>
  <c r="EN51" i="1"/>
  <c r="DJ51" i="1"/>
  <c r="EO51" i="1"/>
  <c r="FG51" i="1"/>
  <c r="EJ51" i="1"/>
  <c r="FM51" i="1"/>
  <c r="FH51" i="1"/>
  <c r="FI51" i="1"/>
  <c r="AJ179" i="1"/>
  <c r="AK179" i="1" s="1"/>
  <c r="AK178" i="1"/>
  <c r="CH202" i="1"/>
  <c r="DB202" i="1"/>
  <c r="DC202" i="1" s="1"/>
  <c r="L202" i="1"/>
  <c r="CJ202" i="1"/>
  <c r="DR36" i="1"/>
  <c r="DH199" i="1"/>
  <c r="DG198" i="1"/>
  <c r="EZ266" i="1"/>
  <c r="EY266" i="1" s="1"/>
  <c r="EY236" i="1"/>
  <c r="ET199" i="1"/>
  <c r="ES198" i="1"/>
  <c r="FL198" i="1"/>
  <c r="FN199" i="1"/>
  <c r="ES236" i="1"/>
  <c r="ET266" i="1"/>
  <c r="ES266" i="1" s="1"/>
  <c r="EM246" i="1"/>
  <c r="EM263" i="1"/>
  <c r="ES234" i="1"/>
  <c r="DG37" i="1"/>
  <c r="FE260" i="1"/>
  <c r="FE199" i="1"/>
  <c r="FF200" i="1"/>
  <c r="FE263" i="1"/>
  <c r="DB101" i="1"/>
  <c r="DC101" i="1" s="1"/>
  <c r="AO102" i="1"/>
  <c r="FR101" i="1"/>
  <c r="DM101" i="1"/>
  <c r="DA101" i="1"/>
  <c r="CM81" i="1"/>
  <c r="CL81" i="1" s="1"/>
  <c r="H81" i="1" s="1"/>
  <c r="DG233" i="1"/>
  <c r="DK234" i="1"/>
  <c r="DH163" i="1"/>
  <c r="DG163" i="1" s="1"/>
  <c r="DG160" i="1"/>
  <c r="ES160" i="1"/>
  <c r="FF256" i="1"/>
  <c r="FE256" i="1" s="1"/>
  <c r="FE237" i="1"/>
  <c r="DV83" i="1"/>
  <c r="DT82" i="1"/>
  <c r="EB83" i="1"/>
  <c r="DZ82" i="1"/>
  <c r="EG82" i="1"/>
  <c r="EM81" i="1"/>
  <c r="DO80" i="1"/>
  <c r="CM80" i="1"/>
  <c r="CL80" i="1" s="1"/>
  <c r="H80" i="1" s="1"/>
  <c r="EU5" i="1"/>
  <c r="ES90" i="1"/>
  <c r="ET91" i="1"/>
  <c r="FL81" i="1"/>
  <c r="FM82" i="1"/>
  <c r="DZ70" i="1"/>
  <c r="DZ264" i="1"/>
  <c r="DZ262" i="1"/>
  <c r="DZ254" i="1"/>
  <c r="DZ261" i="1"/>
  <c r="DZ68" i="1"/>
  <c r="DZ257" i="1"/>
  <c r="DZ215" i="1"/>
  <c r="DZ197" i="1"/>
  <c r="DZ227" i="1"/>
  <c r="DZ207" i="1"/>
  <c r="DZ35" i="1"/>
  <c r="DZ258" i="1"/>
  <c r="DZ259" i="1"/>
  <c r="DZ196" i="1"/>
  <c r="DZ139" i="1"/>
  <c r="DZ50" i="1"/>
  <c r="DZ183" i="1"/>
  <c r="DZ211" i="1"/>
  <c r="DZ148" i="1"/>
  <c r="DZ20" i="1"/>
  <c r="DZ225" i="1"/>
  <c r="DZ114" i="1"/>
  <c r="DZ17" i="1"/>
  <c r="DZ39" i="1"/>
  <c r="DZ124" i="1"/>
  <c r="DZ142" i="1"/>
  <c r="DZ133" i="1"/>
  <c r="DZ224" i="1"/>
  <c r="DZ130" i="1"/>
  <c r="DZ113" i="1"/>
  <c r="DZ181" i="1"/>
  <c r="DZ12" i="1"/>
  <c r="DZ143" i="1"/>
  <c r="DZ240" i="1"/>
  <c r="DZ40" i="1"/>
  <c r="DZ16" i="1"/>
  <c r="DZ104" i="1"/>
  <c r="DZ34" i="1"/>
  <c r="DZ165" i="1"/>
  <c r="DZ194" i="1"/>
  <c r="DZ126" i="1"/>
  <c r="DZ46" i="1"/>
  <c r="DZ206" i="1"/>
  <c r="DZ208" i="1"/>
  <c r="DZ187" i="1"/>
  <c r="DZ189" i="1"/>
  <c r="DZ98" i="1"/>
  <c r="DZ110" i="1"/>
  <c r="DZ210" i="1"/>
  <c r="DZ271" i="1"/>
  <c r="DZ137" i="1"/>
  <c r="DZ188" i="1"/>
  <c r="DZ174" i="1"/>
  <c r="DZ32" i="1"/>
  <c r="DZ244" i="1"/>
  <c r="DZ176" i="1"/>
  <c r="DZ213" i="1"/>
  <c r="DZ269" i="1"/>
  <c r="DZ24" i="1"/>
  <c r="DZ48" i="1"/>
  <c r="DZ175" i="1"/>
  <c r="DZ182" i="1"/>
  <c r="DZ122" i="1"/>
  <c r="DZ195" i="1"/>
  <c r="DZ71" i="1"/>
  <c r="DZ67" i="1"/>
  <c r="DZ265" i="1"/>
  <c r="DZ45" i="1"/>
  <c r="DZ78" i="1"/>
  <c r="DZ30" i="1"/>
  <c r="DZ222" i="1"/>
  <c r="DZ245" i="1"/>
  <c r="DZ95" i="1"/>
  <c r="DZ129" i="1"/>
  <c r="DZ170" i="1"/>
  <c r="DZ44" i="1"/>
  <c r="DZ247" i="1"/>
  <c r="DZ121" i="1"/>
  <c r="DZ146" i="1"/>
  <c r="DZ220" i="1"/>
  <c r="DZ29" i="1"/>
  <c r="DZ132" i="1"/>
  <c r="DZ28" i="1"/>
  <c r="DZ155" i="1"/>
  <c r="DZ138" i="1"/>
  <c r="DZ21" i="1"/>
  <c r="DZ42" i="1"/>
  <c r="DZ242" i="1"/>
  <c r="DZ125" i="1"/>
  <c r="DZ226" i="1"/>
  <c r="DZ156" i="1"/>
  <c r="DZ136" i="1"/>
  <c r="DZ171" i="1"/>
  <c r="DZ147" i="1"/>
  <c r="DZ111" i="1"/>
  <c r="DZ149" i="1"/>
  <c r="DZ22" i="1"/>
  <c r="DZ99" i="1"/>
  <c r="DZ62" i="1"/>
  <c r="DZ33" i="1"/>
  <c r="DZ250" i="1"/>
  <c r="DZ239" i="1"/>
  <c r="DZ248" i="1"/>
  <c r="DZ157" i="1"/>
  <c r="DZ221" i="1"/>
  <c r="DZ107" i="1"/>
  <c r="DZ120" i="1"/>
  <c r="DZ166" i="1"/>
  <c r="DZ214" i="1"/>
  <c r="DZ270" i="1"/>
  <c r="DZ25" i="1"/>
  <c r="DZ252" i="1"/>
  <c r="DZ267" i="1"/>
  <c r="DZ116" i="1"/>
  <c r="DZ26" i="1"/>
  <c r="DZ13" i="1"/>
  <c r="DZ43" i="1"/>
  <c r="DZ109" i="1"/>
  <c r="DZ128" i="1"/>
  <c r="DZ134" i="1"/>
  <c r="DZ268" i="1"/>
  <c r="DZ49" i="1"/>
  <c r="DZ106" i="1"/>
  <c r="DZ94" i="1"/>
  <c r="DZ38" i="1"/>
  <c r="DZ105" i="1"/>
  <c r="DZ100" i="1"/>
  <c r="FE81" i="1"/>
  <c r="FF82" i="1"/>
  <c r="ES93" i="1"/>
  <c r="EO5" i="1"/>
  <c r="DG31" i="1"/>
  <c r="DG97" i="1"/>
  <c r="EJ6" i="1"/>
  <c r="EG228" i="1"/>
  <c r="EG229" i="1" s="1"/>
  <c r="EG230" i="1" s="1"/>
  <c r="EG37" i="1"/>
  <c r="BF217" i="1"/>
  <c r="BI216" i="1"/>
  <c r="DT216" i="1" s="1"/>
  <c r="EY228" i="1"/>
  <c r="EZ229" i="1"/>
  <c r="AO191" i="1"/>
  <c r="FR190" i="1"/>
  <c r="DM190" i="1"/>
  <c r="DA190" i="1"/>
  <c r="DB190" i="1"/>
  <c r="DC190" i="1" s="1"/>
  <c r="DO190" i="1" s="1"/>
  <c r="EY72" i="1"/>
  <c r="EZ73" i="1"/>
  <c r="EN6" i="1"/>
  <c r="ES260" i="1"/>
  <c r="EM172" i="1"/>
  <c r="EM173" i="1" s="1"/>
  <c r="ET173" i="1"/>
  <c r="ES173" i="1" s="1"/>
  <c r="ES172" i="1"/>
  <c r="DV5" i="1"/>
  <c r="EG260" i="1"/>
  <c r="EG66" i="1"/>
  <c r="EQ10" i="1"/>
  <c r="EQ7" i="1" s="1"/>
  <c r="FC10" i="1"/>
  <c r="FC7" i="1" s="1"/>
  <c r="DR189" i="1"/>
  <c r="EY90" i="1"/>
  <c r="EZ91" i="1"/>
  <c r="FL87" i="1"/>
  <c r="FM88" i="1"/>
  <c r="ES66" i="1"/>
  <c r="EZ173" i="1"/>
  <c r="EY173" i="1" s="1"/>
  <c r="EY172" i="1"/>
  <c r="EY81" i="1"/>
  <c r="EZ82" i="1"/>
  <c r="DG72" i="1"/>
  <c r="DH73" i="1"/>
  <c r="DG119" i="1"/>
  <c r="FI117" i="1"/>
  <c r="FI118" i="1" s="1"/>
  <c r="ET117" i="1"/>
  <c r="EC117" i="1"/>
  <c r="EC118" i="1" s="1"/>
  <c r="DM117" i="1"/>
  <c r="DM118" i="1" s="1"/>
  <c r="CP117" i="1"/>
  <c r="FH117" i="1"/>
  <c r="FH118" i="1" s="1"/>
  <c r="EB117" i="1"/>
  <c r="EB118" i="1" s="1"/>
  <c r="DL117" i="1"/>
  <c r="DL118" i="1" s="1"/>
  <c r="FG117" i="1"/>
  <c r="FG118" i="1" s="1"/>
  <c r="EP117" i="1"/>
  <c r="EP118" i="1" s="1"/>
  <c r="DK117" i="1"/>
  <c r="DK118" i="1" s="1"/>
  <c r="DA117" i="1"/>
  <c r="EH117" i="1"/>
  <c r="EH118" i="1" s="1"/>
  <c r="DX117" i="1"/>
  <c r="DX118" i="1" s="1"/>
  <c r="FF117" i="1"/>
  <c r="EO117" i="1"/>
  <c r="EO118" i="1" s="1"/>
  <c r="DJ117" i="1"/>
  <c r="DJ118" i="1" s="1"/>
  <c r="DW117" i="1"/>
  <c r="DW118" i="1" s="1"/>
  <c r="DR117" i="1"/>
  <c r="EV117" i="1"/>
  <c r="EV118" i="1" s="1"/>
  <c r="EN117" i="1"/>
  <c r="EN118" i="1" s="1"/>
  <c r="DI117" i="1"/>
  <c r="DI118" i="1" s="1"/>
  <c r="DP117" i="1"/>
  <c r="FO117" i="1"/>
  <c r="FO118" i="1" s="1"/>
  <c r="DV117" i="1"/>
  <c r="DV118" i="1" s="1"/>
  <c r="CO117" i="1"/>
  <c r="EU117" i="1"/>
  <c r="EU118" i="1" s="1"/>
  <c r="ED117" i="1"/>
  <c r="ED118" i="1" s="1"/>
  <c r="DH117" i="1"/>
  <c r="FR117" i="1"/>
  <c r="CQ117" i="1"/>
  <c r="CN117" i="1" s="1"/>
  <c r="FN117" i="1"/>
  <c r="FN118" i="1" s="1"/>
  <c r="FM117" i="1"/>
  <c r="EJ117" i="1"/>
  <c r="EJ118" i="1" s="1"/>
  <c r="EI117" i="1"/>
  <c r="EI118" i="1" s="1"/>
  <c r="FB117" i="1"/>
  <c r="FB118" i="1" s="1"/>
  <c r="FA117" i="1"/>
  <c r="FA118" i="1" s="1"/>
  <c r="CG117" i="1"/>
  <c r="M117" i="1" s="1"/>
  <c r="EZ117" i="1"/>
  <c r="DR139" i="1"/>
  <c r="AO178" i="1"/>
  <c r="FR177" i="1"/>
  <c r="DA177" i="1"/>
  <c r="DM177" i="1"/>
  <c r="DB177" i="1"/>
  <c r="DC177" i="1" s="1"/>
  <c r="DR177" i="1" s="1"/>
  <c r="DO110" i="1"/>
  <c r="DO113" i="1"/>
  <c r="DQ113" i="1" s="1"/>
  <c r="DO114" i="1"/>
  <c r="DO12" i="1"/>
  <c r="DQ12" i="1" s="1"/>
  <c r="DO109" i="1"/>
  <c r="DQ109" i="1" s="1"/>
  <c r="DO13" i="1"/>
  <c r="DO111" i="1"/>
  <c r="EG172" i="1"/>
  <c r="EG173" i="1" s="1"/>
  <c r="FE87" i="1"/>
  <c r="FF88" i="1"/>
  <c r="DG90" i="1"/>
  <c r="DH91" i="1"/>
  <c r="FE37" i="1"/>
  <c r="DT264" i="1"/>
  <c r="DT262" i="1"/>
  <c r="DT254" i="1"/>
  <c r="DT261" i="1"/>
  <c r="DT227" i="1"/>
  <c r="DT175" i="1"/>
  <c r="DT271" i="1"/>
  <c r="DT124" i="1"/>
  <c r="DT35" i="1"/>
  <c r="DT50" i="1"/>
  <c r="DT126" i="1"/>
  <c r="DT224" i="1"/>
  <c r="DT259" i="1"/>
  <c r="DT244" i="1"/>
  <c r="DT98" i="1"/>
  <c r="DT165" i="1"/>
  <c r="DT258" i="1"/>
  <c r="DT257" i="1"/>
  <c r="DT211" i="1"/>
  <c r="DT188" i="1"/>
  <c r="DT122" i="1"/>
  <c r="DT207" i="1"/>
  <c r="DT104" i="1"/>
  <c r="DT20" i="1"/>
  <c r="DT269" i="1"/>
  <c r="DT139" i="1"/>
  <c r="DT137" i="1"/>
  <c r="DT182" i="1"/>
  <c r="DT183" i="1"/>
  <c r="DT113" i="1"/>
  <c r="DT16" i="1"/>
  <c r="DT110" i="1"/>
  <c r="DT197" i="1"/>
  <c r="DT40" i="1"/>
  <c r="DT194" i="1"/>
  <c r="DT142" i="1"/>
  <c r="DT206" i="1"/>
  <c r="DT189" i="1"/>
  <c r="DT133" i="1"/>
  <c r="DT130" i="1"/>
  <c r="DT114" i="1"/>
  <c r="DT143" i="1"/>
  <c r="DT17" i="1"/>
  <c r="DT48" i="1"/>
  <c r="DT187" i="1"/>
  <c r="DT24" i="1"/>
  <c r="DT176" i="1"/>
  <c r="DT195" i="1"/>
  <c r="DT174" i="1"/>
  <c r="DT148" i="1"/>
  <c r="DT215" i="1"/>
  <c r="DT210" i="1"/>
  <c r="DT39" i="1"/>
  <c r="DT34" i="1"/>
  <c r="DT240" i="1"/>
  <c r="DT213" i="1"/>
  <c r="DT32" i="1"/>
  <c r="DT196" i="1"/>
  <c r="DT181" i="1"/>
  <c r="DT12" i="1"/>
  <c r="DT225" i="1"/>
  <c r="DT208" i="1"/>
  <c r="DT46" i="1"/>
  <c r="DT70" i="1"/>
  <c r="DT67" i="1"/>
  <c r="DT71" i="1"/>
  <c r="DT265" i="1"/>
  <c r="DT68" i="1"/>
  <c r="DT13" i="1"/>
  <c r="DT49" i="1"/>
  <c r="DT62" i="1"/>
  <c r="DT33" i="1"/>
  <c r="DT221" i="1"/>
  <c r="DT222" i="1"/>
  <c r="DT166" i="1"/>
  <c r="DT267" i="1"/>
  <c r="DT111" i="1"/>
  <c r="DT242" i="1"/>
  <c r="DT239" i="1"/>
  <c r="DT171" i="1"/>
  <c r="DT42" i="1"/>
  <c r="DT245" i="1"/>
  <c r="DT146" i="1"/>
  <c r="DT147" i="1"/>
  <c r="DT134" i="1"/>
  <c r="DT170" i="1"/>
  <c r="DT25" i="1"/>
  <c r="DT138" i="1"/>
  <c r="DT157" i="1"/>
  <c r="DT129" i="1"/>
  <c r="DT94" i="1"/>
  <c r="DT78" i="1"/>
  <c r="DT128" i="1"/>
  <c r="DT100" i="1"/>
  <c r="DT109" i="1"/>
  <c r="DT268" i="1"/>
  <c r="DT21" i="1"/>
  <c r="DT38" i="1"/>
  <c r="DT44" i="1"/>
  <c r="DT136" i="1"/>
  <c r="DT248" i="1"/>
  <c r="DT28" i="1"/>
  <c r="DT214" i="1"/>
  <c r="DT29" i="1"/>
  <c r="DT149" i="1"/>
  <c r="DT105" i="1"/>
  <c r="DT247" i="1"/>
  <c r="DT106" i="1"/>
  <c r="DT120" i="1"/>
  <c r="DT220" i="1"/>
  <c r="DT45" i="1"/>
  <c r="DT125" i="1"/>
  <c r="DT43" i="1"/>
  <c r="DT250" i="1"/>
  <c r="DT121" i="1"/>
  <c r="DT155" i="1"/>
  <c r="DT156" i="1"/>
  <c r="DT99" i="1"/>
  <c r="DT95" i="1"/>
  <c r="DT107" i="1"/>
  <c r="DT116" i="1"/>
  <c r="DT22" i="1"/>
  <c r="DT270" i="1"/>
  <c r="DT226" i="1"/>
  <c r="DT30" i="1"/>
  <c r="DT132" i="1"/>
  <c r="DT36" i="1"/>
  <c r="DT26" i="1"/>
  <c r="DT252" i="1"/>
  <c r="AO152" i="1"/>
  <c r="DB151" i="1"/>
  <c r="DC151" i="1" s="1"/>
  <c r="DM151" i="1"/>
  <c r="FR151" i="1"/>
  <c r="DA151" i="1"/>
  <c r="FE66" i="1"/>
  <c r="FE93" i="1"/>
  <c r="DP270" i="1"/>
  <c r="DR270" i="1"/>
  <c r="FE228" i="1"/>
  <c r="FF229" i="1"/>
  <c r="FL31" i="1"/>
  <c r="DG87" i="1"/>
  <c r="DH88" i="1"/>
  <c r="DH249" i="1"/>
  <c r="EE165" i="1"/>
  <c r="EE189" i="1"/>
  <c r="EE175" i="1"/>
  <c r="EE226" i="1"/>
  <c r="EE170" i="1"/>
  <c r="EE155" i="1"/>
  <c r="EY11" i="1"/>
  <c r="BI52" i="1"/>
  <c r="BF53" i="1"/>
  <c r="FL72" i="1"/>
  <c r="FM73" i="1"/>
  <c r="ES14" i="1"/>
  <c r="ET97" i="1"/>
  <c r="ES97" i="1" s="1"/>
  <c r="DH103" i="1"/>
  <c r="DG93" i="1"/>
  <c r="AJ53" i="1"/>
  <c r="AK52" i="1"/>
  <c r="FL228" i="1"/>
  <c r="FM229" i="1"/>
  <c r="DP100" i="1"/>
  <c r="DR100" i="1"/>
  <c r="EY93" i="1"/>
  <c r="DG11" i="1"/>
  <c r="FL66" i="1"/>
  <c r="BF192" i="1"/>
  <c r="BI192" i="1" s="1"/>
  <c r="BI191" i="1"/>
  <c r="EW10" i="1"/>
  <c r="EW7" i="1" s="1"/>
  <c r="DB218" i="1"/>
  <c r="DC218" i="1" s="1"/>
  <c r="DM218" i="1"/>
  <c r="DM219" i="1" s="1"/>
  <c r="DA218" i="1"/>
  <c r="FR218" i="1"/>
  <c r="ES37" i="1"/>
  <c r="FL90" i="1"/>
  <c r="FM91" i="1"/>
  <c r="EC6" i="1"/>
  <c r="DO207" i="1"/>
  <c r="DQ207" i="1" s="1"/>
  <c r="DO195" i="1"/>
  <c r="CM140" i="1"/>
  <c r="CL140" i="1" s="1"/>
  <c r="H140" i="1" s="1"/>
  <c r="CM124" i="1"/>
  <c r="CL124" i="1" s="1"/>
  <c r="DO157" i="1"/>
  <c r="CM147" i="1"/>
  <c r="CL147" i="1" s="1"/>
  <c r="H147" i="1" s="1"/>
  <c r="DO220" i="1"/>
  <c r="DQ220" i="1" s="1"/>
  <c r="DO35" i="1"/>
  <c r="DO122" i="1"/>
  <c r="CM134" i="1"/>
  <c r="CL134" i="1" s="1"/>
  <c r="H134" i="1" s="1"/>
  <c r="DO181" i="1"/>
  <c r="DQ181" i="1" s="1"/>
  <c r="CM269" i="1"/>
  <c r="CL269" i="1" s="1"/>
  <c r="H269" i="1" s="1"/>
  <c r="DO133" i="1"/>
  <c r="DO257" i="1"/>
  <c r="DO170" i="1"/>
  <c r="CM70" i="1"/>
  <c r="CL70" i="1" s="1"/>
  <c r="H70" i="1" s="1"/>
  <c r="DO215" i="1"/>
  <c r="CM129" i="1"/>
  <c r="CL129" i="1" s="1"/>
  <c r="H129" i="1" s="1"/>
  <c r="CM262" i="1"/>
  <c r="CL262" i="1" s="1"/>
  <c r="H262" i="1" s="1"/>
  <c r="CM136" i="1"/>
  <c r="CL136" i="1" s="1"/>
  <c r="CM177" i="1"/>
  <c r="CL177" i="1" s="1"/>
  <c r="H177" i="1" s="1"/>
  <c r="CM114" i="1"/>
  <c r="CL114" i="1" s="1"/>
  <c r="H114" i="1" s="1"/>
  <c r="CM155" i="1"/>
  <c r="CL155" i="1" s="1"/>
  <c r="H155" i="1" s="1"/>
  <c r="CM175" i="1"/>
  <c r="CL175" i="1" s="1"/>
  <c r="H175" i="1" s="1"/>
  <c r="DO259" i="1"/>
  <c r="CM35" i="1"/>
  <c r="CL35" i="1" s="1"/>
  <c r="H35" i="1" s="1"/>
  <c r="DO155" i="1"/>
  <c r="DQ155" i="1" s="1"/>
  <c r="CM150" i="1"/>
  <c r="CL150" i="1" s="1"/>
  <c r="H150" i="1" s="1"/>
  <c r="DO125" i="1"/>
  <c r="CM105" i="1"/>
  <c r="CL105" i="1" s="1"/>
  <c r="H105" i="1" s="1"/>
  <c r="CM226" i="1"/>
  <c r="CL226" i="1" s="1"/>
  <c r="H226" i="1" s="1"/>
  <c r="DO38" i="1"/>
  <c r="DQ38" i="1" s="1"/>
  <c r="CM181" i="1"/>
  <c r="CL181" i="1" s="1"/>
  <c r="DO143" i="1"/>
  <c r="CM188" i="1"/>
  <c r="CL188" i="1" s="1"/>
  <c r="H188" i="1" s="1"/>
  <c r="DO176" i="1"/>
  <c r="CM32" i="1"/>
  <c r="CL32" i="1" s="1"/>
  <c r="DO239" i="1"/>
  <c r="DQ239" i="1" s="1"/>
  <c r="CM24" i="1"/>
  <c r="CL24" i="1" s="1"/>
  <c r="DO248" i="1"/>
  <c r="CM194" i="1"/>
  <c r="CL194" i="1" s="1"/>
  <c r="CM208" i="1"/>
  <c r="CL208" i="1" s="1"/>
  <c r="H208" i="1" s="1"/>
  <c r="DO224" i="1"/>
  <c r="DQ224" i="1" s="1"/>
  <c r="DO250" i="1"/>
  <c r="CM248" i="1"/>
  <c r="CL248" i="1" s="1"/>
  <c r="H248" i="1" s="1"/>
  <c r="DO134" i="1"/>
  <c r="CM113" i="1"/>
  <c r="CL113" i="1" s="1"/>
  <c r="CM222" i="1"/>
  <c r="CL222" i="1" s="1"/>
  <c r="H222" i="1" s="1"/>
  <c r="DO269" i="1"/>
  <c r="DQ269" i="1" s="1"/>
  <c r="DO26" i="1"/>
  <c r="CM30" i="1"/>
  <c r="CL30" i="1" s="1"/>
  <c r="H30" i="1" s="1"/>
  <c r="DO130" i="1"/>
  <c r="DO187" i="1"/>
  <c r="CM99" i="1"/>
  <c r="CL99" i="1" s="1"/>
  <c r="H99" i="1" s="1"/>
  <c r="CM174" i="1"/>
  <c r="CL174" i="1" s="1"/>
  <c r="DO174" i="1"/>
  <c r="DO166" i="1"/>
  <c r="CM42" i="1"/>
  <c r="CL42" i="1" s="1"/>
  <c r="DO175" i="1"/>
  <c r="CM22" i="1"/>
  <c r="CL22" i="1" s="1"/>
  <c r="H22" i="1" s="1"/>
  <c r="CM62" i="1"/>
  <c r="CL62" i="1" s="1"/>
  <c r="CM271" i="1"/>
  <c r="CL271" i="1" s="1"/>
  <c r="H271" i="1" s="1"/>
  <c r="DO226" i="1"/>
  <c r="DQ226" i="1" s="1"/>
  <c r="CM196" i="1"/>
  <c r="CL196" i="1" s="1"/>
  <c r="H196" i="1" s="1"/>
  <c r="CM213" i="1"/>
  <c r="CL213" i="1" s="1"/>
  <c r="CM43" i="1"/>
  <c r="CL43" i="1" s="1"/>
  <c r="H43" i="1" s="1"/>
  <c r="DO17" i="1"/>
  <c r="DO40" i="1"/>
  <c r="DO62" i="1"/>
  <c r="CM210" i="1"/>
  <c r="CL210" i="1" s="1"/>
  <c r="DO44" i="1"/>
  <c r="CM270" i="1"/>
  <c r="CL270" i="1" s="1"/>
  <c r="H270" i="1" s="1"/>
  <c r="DO124" i="1"/>
  <c r="DQ124" i="1" s="1"/>
  <c r="CM244" i="1"/>
  <c r="CL244" i="1" s="1"/>
  <c r="H244" i="1" s="1"/>
  <c r="CM265" i="1"/>
  <c r="CL265" i="1" s="1"/>
  <c r="H265" i="1" s="1"/>
  <c r="DO183" i="1"/>
  <c r="CM20" i="1"/>
  <c r="CL20" i="1" s="1"/>
  <c r="CM44" i="1"/>
  <c r="CL44" i="1" s="1"/>
  <c r="H44" i="1" s="1"/>
  <c r="DO147" i="1"/>
  <c r="DO21" i="1"/>
  <c r="CM252" i="1"/>
  <c r="CL252" i="1" s="1"/>
  <c r="CM221" i="1"/>
  <c r="CL221" i="1" s="1"/>
  <c r="H221" i="1" s="1"/>
  <c r="DO136" i="1"/>
  <c r="DO116" i="1"/>
  <c r="DQ116" i="1" s="1"/>
  <c r="DO197" i="1"/>
  <c r="DO137" i="1"/>
  <c r="DO252" i="1"/>
  <c r="DQ252" i="1" s="1"/>
  <c r="CM225" i="1"/>
  <c r="CL225" i="1" s="1"/>
  <c r="CM133" i="1"/>
  <c r="CL133" i="1" s="1"/>
  <c r="H133" i="1" s="1"/>
  <c r="CM264" i="1"/>
  <c r="CL264" i="1" s="1"/>
  <c r="CM71" i="1"/>
  <c r="CL71" i="1" s="1"/>
  <c r="H71" i="1" s="1"/>
  <c r="CM207" i="1"/>
  <c r="CL207" i="1" s="1"/>
  <c r="H207" i="1" s="1"/>
  <c r="DO45" i="1"/>
  <c r="DO16" i="1"/>
  <c r="DQ16" i="1" s="1"/>
  <c r="CM165" i="1"/>
  <c r="CL165" i="1" s="1"/>
  <c r="DO139" i="1"/>
  <c r="CM116" i="1"/>
  <c r="CL116" i="1" s="1"/>
  <c r="DO265" i="1"/>
  <c r="CM261" i="1"/>
  <c r="CL261" i="1" s="1"/>
  <c r="CM250" i="1"/>
  <c r="CL250" i="1" s="1"/>
  <c r="A7" i="1"/>
  <c r="G44" i="4" s="1"/>
  <c r="CM195" i="1"/>
  <c r="CL195" i="1" s="1"/>
  <c r="H195" i="1" s="1"/>
  <c r="CM138" i="1"/>
  <c r="CL138" i="1" s="1"/>
  <c r="H138" i="1" s="1"/>
  <c r="DO240" i="1"/>
  <c r="CM48" i="1"/>
  <c r="CL48" i="1" s="1"/>
  <c r="CM67" i="1"/>
  <c r="CL67" i="1" s="1"/>
  <c r="CM13" i="1"/>
  <c r="CL13" i="1" s="1"/>
  <c r="H13" i="1" s="1"/>
  <c r="CM242" i="1"/>
  <c r="CL242" i="1" s="1"/>
  <c r="H242" i="1" s="1"/>
  <c r="DO24" i="1"/>
  <c r="DQ24" i="1" s="1"/>
  <c r="CM166" i="1"/>
  <c r="CL166" i="1" s="1"/>
  <c r="H166" i="1" s="1"/>
  <c r="CM78" i="1"/>
  <c r="CL78" i="1" s="1"/>
  <c r="CM94" i="1"/>
  <c r="CL94" i="1" s="1"/>
  <c r="DO244" i="1"/>
  <c r="DQ244" i="1" s="1"/>
  <c r="DO196" i="1"/>
  <c r="DO262" i="1"/>
  <c r="CM259" i="1"/>
  <c r="CL259" i="1" s="1"/>
  <c r="H259" i="1" s="1"/>
  <c r="CM130" i="1"/>
  <c r="CL130" i="1" s="1"/>
  <c r="H130" i="1" s="1"/>
  <c r="CM254" i="1"/>
  <c r="CL254" i="1" s="1"/>
  <c r="DO126" i="1"/>
  <c r="DO42" i="1"/>
  <c r="DQ42" i="1" s="1"/>
  <c r="DO213" i="1"/>
  <c r="DO29" i="1"/>
  <c r="DO70" i="1"/>
  <c r="DO32" i="1"/>
  <c r="DQ32" i="1" s="1"/>
  <c r="CM170" i="1"/>
  <c r="CL170" i="1" s="1"/>
  <c r="DO49" i="1"/>
  <c r="CM190" i="1"/>
  <c r="CL190" i="1" s="1"/>
  <c r="H190" i="1" s="1"/>
  <c r="DO146" i="1"/>
  <c r="DQ146" i="1" s="1"/>
  <c r="DO211" i="1"/>
  <c r="DQ211" i="1" s="1"/>
  <c r="CM25" i="1"/>
  <c r="CL25" i="1" s="1"/>
  <c r="H25" i="1" s="1"/>
  <c r="DO194" i="1"/>
  <c r="DQ194" i="1" s="1"/>
  <c r="DO68" i="1"/>
  <c r="DQ68" i="1" s="1"/>
  <c r="CM257" i="1"/>
  <c r="CL257" i="1" s="1"/>
  <c r="CM211" i="1"/>
  <c r="CL211" i="1" s="1"/>
  <c r="H211" i="1" s="1"/>
  <c r="CM100" i="1"/>
  <c r="CL100" i="1" s="1"/>
  <c r="H100" i="1" s="1"/>
  <c r="CM142" i="1"/>
  <c r="CL142" i="1" s="1"/>
  <c r="H142" i="1" s="1"/>
  <c r="DO105" i="1"/>
  <c r="CM40" i="1"/>
  <c r="CL40" i="1" s="1"/>
  <c r="H40" i="1" s="1"/>
  <c r="CM38" i="1"/>
  <c r="CL38" i="1" s="1"/>
  <c r="DO182" i="1"/>
  <c r="DO142" i="1"/>
  <c r="DO254" i="1"/>
  <c r="CM224" i="1"/>
  <c r="CL224" i="1" s="1"/>
  <c r="DO271" i="1"/>
  <c r="CM183" i="1"/>
  <c r="CL183" i="1" s="1"/>
  <c r="H183" i="1" s="1"/>
  <c r="CM206" i="1"/>
  <c r="CL206" i="1" s="1"/>
  <c r="H206" i="1" s="1"/>
  <c r="CM182" i="1"/>
  <c r="CL182" i="1" s="1"/>
  <c r="H182" i="1" s="1"/>
  <c r="DO43" i="1"/>
  <c r="DO34" i="1"/>
  <c r="CM49" i="1"/>
  <c r="CL49" i="1" s="1"/>
  <c r="H49" i="1" s="1"/>
  <c r="DO264" i="1"/>
  <c r="DQ264" i="1" s="1"/>
  <c r="CM17" i="1"/>
  <c r="CL17" i="1" s="1"/>
  <c r="H17" i="1" s="1"/>
  <c r="DO247" i="1"/>
  <c r="DO78" i="1"/>
  <c r="DQ78" i="1" s="1"/>
  <c r="CM220" i="1"/>
  <c r="CL220" i="1" s="1"/>
  <c r="DO148" i="1"/>
  <c r="DQ148" i="1" s="1"/>
  <c r="CM39" i="1"/>
  <c r="CL39" i="1" s="1"/>
  <c r="H39" i="1" s="1"/>
  <c r="CM125" i="1"/>
  <c r="CL125" i="1" s="1"/>
  <c r="H125" i="1" s="1"/>
  <c r="CM16" i="1"/>
  <c r="CL16" i="1" s="1"/>
  <c r="DO210" i="1"/>
  <c r="DQ210" i="1" s="1"/>
  <c r="DO46" i="1"/>
  <c r="CM12" i="1"/>
  <c r="CL12" i="1" s="1"/>
  <c r="CM122" i="1"/>
  <c r="CL122" i="1" s="1"/>
  <c r="H122" i="1" s="1"/>
  <c r="DO165" i="1"/>
  <c r="DQ165" i="1" s="1"/>
  <c r="CM267" i="1"/>
  <c r="CL267" i="1" s="1"/>
  <c r="CM126" i="1"/>
  <c r="CL126" i="1" s="1"/>
  <c r="H126" i="1" s="1"/>
  <c r="CM34" i="1"/>
  <c r="CL34" i="1" s="1"/>
  <c r="H34" i="1" s="1"/>
  <c r="DO267" i="1"/>
  <c r="CM21" i="1"/>
  <c r="CL21" i="1" s="1"/>
  <c r="H21" i="1" s="1"/>
  <c r="DO242" i="1"/>
  <c r="DQ242" i="1" s="1"/>
  <c r="CM26" i="1"/>
  <c r="CL26" i="1" s="1"/>
  <c r="H26" i="1" s="1"/>
  <c r="CM227" i="1"/>
  <c r="CL227" i="1" s="1"/>
  <c r="H227" i="1" s="1"/>
  <c r="DO25" i="1"/>
  <c r="CM247" i="1"/>
  <c r="CL247" i="1" s="1"/>
  <c r="CM215" i="1"/>
  <c r="CL215" i="1" s="1"/>
  <c r="H215" i="1" s="1"/>
  <c r="CM197" i="1"/>
  <c r="CL197" i="1" s="1"/>
  <c r="H197" i="1" s="1"/>
  <c r="DO206" i="1"/>
  <c r="DQ206" i="1" s="1"/>
  <c r="DO270" i="1"/>
  <c r="DO39" i="1"/>
  <c r="DO104" i="1"/>
  <c r="CM189" i="1"/>
  <c r="CL189" i="1" s="1"/>
  <c r="H189" i="1" s="1"/>
  <c r="DO245" i="1"/>
  <c r="DO106" i="1"/>
  <c r="DO258" i="1"/>
  <c r="DO71" i="1"/>
  <c r="DO120" i="1"/>
  <c r="CM106" i="1"/>
  <c r="CL106" i="1" s="1"/>
  <c r="H106" i="1" s="1"/>
  <c r="CM110" i="1"/>
  <c r="CL110" i="1" s="1"/>
  <c r="H110" i="1" s="1"/>
  <c r="CM240" i="1"/>
  <c r="CL240" i="1" s="1"/>
  <c r="H240" i="1" s="1"/>
  <c r="DO67" i="1"/>
  <c r="DQ67" i="1" s="1"/>
  <c r="CM128" i="1"/>
  <c r="CL128" i="1" s="1"/>
  <c r="CM258" i="1"/>
  <c r="CL258" i="1" s="1"/>
  <c r="H258" i="1" s="1"/>
  <c r="DO221" i="1"/>
  <c r="CM239" i="1"/>
  <c r="CL239" i="1" s="1"/>
  <c r="DO225" i="1"/>
  <c r="DQ225" i="1" s="1"/>
  <c r="CM139" i="1"/>
  <c r="CL139" i="1" s="1"/>
  <c r="H139" i="1" s="1"/>
  <c r="DO22" i="1"/>
  <c r="CM143" i="1"/>
  <c r="CL143" i="1" s="1"/>
  <c r="H143" i="1" s="1"/>
  <c r="DO227" i="1"/>
  <c r="DQ227" i="1" s="1"/>
  <c r="CM146" i="1"/>
  <c r="CL146" i="1" s="1"/>
  <c r="DO188" i="1"/>
  <c r="CM104" i="1"/>
  <c r="CL104" i="1" s="1"/>
  <c r="DO177" i="1"/>
  <c r="DO99" i="1"/>
  <c r="CM187" i="1"/>
  <c r="CL187" i="1" s="1"/>
  <c r="DO129" i="1"/>
  <c r="DO138" i="1"/>
  <c r="CM148" i="1"/>
  <c r="CL148" i="1" s="1"/>
  <c r="H148" i="1" s="1"/>
  <c r="DO100" i="1"/>
  <c r="CM137" i="1"/>
  <c r="CL137" i="1" s="1"/>
  <c r="H137" i="1" s="1"/>
  <c r="DO98" i="1"/>
  <c r="DQ98" i="1" s="1"/>
  <c r="DO30" i="1"/>
  <c r="CM157" i="1"/>
  <c r="CL157" i="1" s="1"/>
  <c r="H157" i="1" s="1"/>
  <c r="CM36" i="1"/>
  <c r="CL36" i="1" s="1"/>
  <c r="H36" i="1" s="1"/>
  <c r="CM120" i="1"/>
  <c r="CL120" i="1" s="1"/>
  <c r="DO48" i="1"/>
  <c r="DQ48" i="1" s="1"/>
  <c r="DO150" i="1"/>
  <c r="CM29" i="1"/>
  <c r="CL29" i="1" s="1"/>
  <c r="H29" i="1" s="1"/>
  <c r="DO261" i="1"/>
  <c r="CM98" i="1"/>
  <c r="CL98" i="1" s="1"/>
  <c r="CM245" i="1"/>
  <c r="CL245" i="1" s="1"/>
  <c r="H245" i="1" s="1"/>
  <c r="DO208" i="1"/>
  <c r="DO36" i="1"/>
  <c r="DO189" i="1"/>
  <c r="DO222" i="1"/>
  <c r="DO128" i="1"/>
  <c r="DO20" i="1"/>
  <c r="DQ20" i="1" s="1"/>
  <c r="DO171" i="1"/>
  <c r="CM176" i="1"/>
  <c r="CL176" i="1" s="1"/>
  <c r="H176" i="1" s="1"/>
  <c r="DO268" i="1"/>
  <c r="DQ268" i="1" s="1"/>
  <c r="DO132" i="1"/>
  <c r="DO28" i="1"/>
  <c r="DQ28" i="1" s="1"/>
  <c r="CM109" i="1"/>
  <c r="CL109" i="1" s="1"/>
  <c r="CM268" i="1"/>
  <c r="CL268" i="1" s="1"/>
  <c r="H268" i="1" s="1"/>
  <c r="CM33" i="1"/>
  <c r="CL33" i="1" s="1"/>
  <c r="H33" i="1" s="1"/>
  <c r="CM121" i="1"/>
  <c r="CL121" i="1" s="1"/>
  <c r="H121" i="1" s="1"/>
  <c r="DO156" i="1"/>
  <c r="DQ156" i="1" s="1"/>
  <c r="CM132" i="1"/>
  <c r="CL132" i="1" s="1"/>
  <c r="DO107" i="1"/>
  <c r="CM111" i="1"/>
  <c r="CL111" i="1" s="1"/>
  <c r="H111" i="1" s="1"/>
  <c r="DO214" i="1"/>
  <c r="DQ214" i="1" s="1"/>
  <c r="CM156" i="1"/>
  <c r="CL156" i="1" s="1"/>
  <c r="H156" i="1" s="1"/>
  <c r="DO33" i="1"/>
  <c r="CM171" i="1"/>
  <c r="CL171" i="1" s="1"/>
  <c r="H171" i="1" s="1"/>
  <c r="DO121" i="1"/>
  <c r="DO95" i="1"/>
  <c r="CM107" i="1"/>
  <c r="CL107" i="1" s="1"/>
  <c r="H107" i="1" s="1"/>
  <c r="CM214" i="1"/>
  <c r="CL214" i="1" s="1"/>
  <c r="H214" i="1" s="1"/>
  <c r="CM95" i="1"/>
  <c r="CL95" i="1" s="1"/>
  <c r="H95" i="1" s="1"/>
  <c r="CM68" i="1"/>
  <c r="CL68" i="1" s="1"/>
  <c r="H68" i="1" s="1"/>
  <c r="CM28" i="1"/>
  <c r="CL28" i="1" s="1"/>
  <c r="H28" i="1" s="1"/>
  <c r="DO149" i="1"/>
  <c r="DQ149" i="1" s="1"/>
  <c r="CM149" i="1"/>
  <c r="CL149" i="1" s="1"/>
  <c r="H149" i="1" s="1"/>
  <c r="DO94" i="1"/>
  <c r="DG81" i="1"/>
  <c r="DH82" i="1"/>
  <c r="DP177" i="1"/>
  <c r="DP150" i="1"/>
  <c r="DX6" i="1"/>
  <c r="FO63" i="1"/>
  <c r="FO64" i="1" s="1"/>
  <c r="EZ63" i="1"/>
  <c r="EC63" i="1"/>
  <c r="EC64" i="1" s="1"/>
  <c r="CO63" i="1"/>
  <c r="FB63" i="1"/>
  <c r="FB64" i="1" s="1"/>
  <c r="DW63" i="1"/>
  <c r="DW64" i="1" s="1"/>
  <c r="DH63" i="1"/>
  <c r="CG63" i="1"/>
  <c r="M63" i="1" s="1"/>
  <c r="EB63" i="1"/>
  <c r="EB64" i="1" s="1"/>
  <c r="FF63" i="1"/>
  <c r="ET63" i="1"/>
  <c r="EO63" i="1"/>
  <c r="EO64" i="1" s="1"/>
  <c r="DJ63" i="1"/>
  <c r="DJ64" i="1" s="1"/>
  <c r="FN63" i="1"/>
  <c r="FN64" i="1" s="1"/>
  <c r="FM63" i="1"/>
  <c r="FA63" i="1"/>
  <c r="FA64" i="1" s="1"/>
  <c r="ED63" i="1"/>
  <c r="ED64" i="1" s="1"/>
  <c r="DA63" i="1"/>
  <c r="FH63" i="1"/>
  <c r="FH64" i="1" s="1"/>
  <c r="EV63" i="1"/>
  <c r="EV64" i="1" s="1"/>
  <c r="EH63" i="1"/>
  <c r="EH64" i="1" s="1"/>
  <c r="DL63" i="1"/>
  <c r="DL64" i="1" s="1"/>
  <c r="DV63" i="1"/>
  <c r="DV64" i="1" s="1"/>
  <c r="EJ63" i="1"/>
  <c r="EJ64" i="1" s="1"/>
  <c r="DR63" i="1"/>
  <c r="FG63" i="1"/>
  <c r="FG64" i="1" s="1"/>
  <c r="EP63" i="1"/>
  <c r="EP64" i="1" s="1"/>
  <c r="DM63" i="1"/>
  <c r="DM64" i="1" s="1"/>
  <c r="EN63" i="1"/>
  <c r="EN64" i="1" s="1"/>
  <c r="DX63" i="1"/>
  <c r="DX64" i="1" s="1"/>
  <c r="DP63" i="1"/>
  <c r="DK63" i="1"/>
  <c r="DK64" i="1" s="1"/>
  <c r="CQ63" i="1"/>
  <c r="N63" i="1" s="1"/>
  <c r="CP63" i="1"/>
  <c r="DI63" i="1"/>
  <c r="DI64" i="1" s="1"/>
  <c r="FR63" i="1"/>
  <c r="EI63" i="1"/>
  <c r="EI64" i="1" s="1"/>
  <c r="FI63" i="1"/>
  <c r="FI64" i="1" s="1"/>
  <c r="EU63" i="1"/>
  <c r="EU64" i="1" s="1"/>
  <c r="FE31" i="1"/>
  <c r="BF102" i="1"/>
  <c r="BI102" i="1" s="1"/>
  <c r="BI101" i="1"/>
  <c r="DZ101" i="1" s="1"/>
  <c r="EY87" i="1"/>
  <c r="EZ88" i="1"/>
  <c r="DH6" i="1"/>
  <c r="EM228" i="1"/>
  <c r="EM229" i="1" s="1"/>
  <c r="EM230" i="1" s="1"/>
  <c r="EM37" i="1"/>
  <c r="FL260" i="1"/>
  <c r="ES228" i="1"/>
  <c r="ET229" i="1"/>
  <c r="EM14" i="1"/>
  <c r="EG90" i="1"/>
  <c r="EG91" i="1" s="1"/>
  <c r="EG92" i="1" s="1"/>
  <c r="EG72" i="1"/>
  <c r="EG73" i="1" s="1"/>
  <c r="EG74" i="1" s="1"/>
  <c r="EG31" i="1"/>
  <c r="ES11" i="1"/>
  <c r="ES5" i="1" s="1"/>
  <c r="AK101" i="1"/>
  <c r="AJ102" i="1"/>
  <c r="AK102" i="1" s="1"/>
  <c r="FE72" i="1"/>
  <c r="FF73" i="1"/>
  <c r="DE10" i="1"/>
  <c r="DE7" i="1" s="1"/>
  <c r="DT172" i="1"/>
  <c r="DG172" i="1"/>
  <c r="AO52" i="1"/>
  <c r="DB51" i="1"/>
  <c r="DC51" i="1" s="1"/>
  <c r="DR51" i="1" s="1"/>
  <c r="FR51" i="1"/>
  <c r="DA51" i="1"/>
  <c r="DM51" i="1"/>
  <c r="FB6" i="1"/>
  <c r="FE90" i="1"/>
  <c r="FF91" i="1"/>
  <c r="FF173" i="1"/>
  <c r="FE173" i="1" s="1"/>
  <c r="FE172" i="1"/>
  <c r="FM173" i="1"/>
  <c r="FL173" i="1" s="1"/>
  <c r="FL172" i="1"/>
  <c r="FL11" i="1"/>
  <c r="EY14" i="1"/>
  <c r="EZ97" i="1"/>
  <c r="EY97" i="1" s="1"/>
  <c r="FJ10" i="1"/>
  <c r="FJ7" i="1" s="1"/>
  <c r="ES81" i="1"/>
  <c r="ET82" i="1"/>
  <c r="DG228" i="1"/>
  <c r="DH229" i="1"/>
  <c r="ES72" i="1"/>
  <c r="ET73" i="1"/>
  <c r="BI178" i="1"/>
  <c r="BF179" i="1"/>
  <c r="BI179" i="1" s="1"/>
  <c r="FR140" i="1"/>
  <c r="DB140" i="1"/>
  <c r="DC140" i="1" s="1"/>
  <c r="DT140" i="1" s="1"/>
  <c r="DA140" i="1"/>
  <c r="DM140" i="1"/>
  <c r="DM141" i="1" s="1"/>
  <c r="BI151" i="1"/>
  <c r="BF152" i="1"/>
  <c r="BI152" i="1" s="1"/>
  <c r="EY31" i="1"/>
  <c r="EK10" i="1"/>
  <c r="EK7" i="1" s="1"/>
  <c r="AJ46" i="1"/>
  <c r="AK46" i="1" s="1"/>
  <c r="CM46" i="1" s="1"/>
  <c r="CL46" i="1" s="1"/>
  <c r="H46" i="1" s="1"/>
  <c r="AK45" i="1"/>
  <c r="CM45" i="1" s="1"/>
  <c r="CL45" i="1" s="1"/>
  <c r="H45" i="1" s="1"/>
  <c r="ES87" i="1"/>
  <c r="ET88" i="1"/>
  <c r="BI184" i="1"/>
  <c r="DT184" i="1" s="1"/>
  <c r="BF185" i="1"/>
  <c r="BI185" i="1" s="1"/>
  <c r="DO185" i="1" s="1"/>
  <c r="FN6" i="1" l="1"/>
  <c r="DQ215" i="1"/>
  <c r="CN50" i="1"/>
  <c r="EE221" i="1"/>
  <c r="CN14" i="1"/>
  <c r="EE124" i="1"/>
  <c r="DV6" i="1"/>
  <c r="DT158" i="1"/>
  <c r="CN63" i="1"/>
  <c r="DH168" i="1"/>
  <c r="DH169" i="1" s="1"/>
  <c r="CT76" i="1"/>
  <c r="FO5" i="1"/>
  <c r="FO4" i="1" s="1"/>
  <c r="EZ6" i="1"/>
  <c r="DT14" i="1"/>
  <c r="DL6" i="1"/>
  <c r="DG14" i="1"/>
  <c r="FF97" i="1"/>
  <c r="DI5" i="1"/>
  <c r="EH6" i="1"/>
  <c r="DL5" i="1"/>
  <c r="EG86" i="1"/>
  <c r="EE85" i="1"/>
  <c r="EM86" i="1"/>
  <c r="EK85" i="1"/>
  <c r="EW76" i="1"/>
  <c r="EQ76" i="1"/>
  <c r="DE76" i="1"/>
  <c r="DG85" i="1"/>
  <c r="DE85" i="1" s="1"/>
  <c r="DH86" i="1"/>
  <c r="DG86" i="1" s="1"/>
  <c r="EY85" i="1"/>
  <c r="EW85" i="1" s="1"/>
  <c r="EZ86" i="1"/>
  <c r="EY86" i="1" s="1"/>
  <c r="ES85" i="1"/>
  <c r="EQ85" i="1" s="1"/>
  <c r="ET86" i="1"/>
  <c r="ES86" i="1" s="1"/>
  <c r="EE76" i="1"/>
  <c r="EK76" i="1"/>
  <c r="G63" i="4"/>
  <c r="G62" i="4"/>
  <c r="G64" i="4"/>
  <c r="FE85" i="1"/>
  <c r="FC85" i="1" s="1"/>
  <c r="FF86" i="1"/>
  <c r="FE86" i="1" s="1"/>
  <c r="FL85" i="1"/>
  <c r="FJ85" i="1" s="1"/>
  <c r="FM86" i="1"/>
  <c r="FL86" i="1" s="1"/>
  <c r="FC76" i="1"/>
  <c r="FJ76" i="1"/>
  <c r="EJ5" i="1"/>
  <c r="EJ4" i="1" s="1"/>
  <c r="DT177" i="1"/>
  <c r="CQ168" i="1"/>
  <c r="N168" i="1" s="1"/>
  <c r="CG168" i="1"/>
  <c r="M168" i="1" s="1"/>
  <c r="G6" i="4"/>
  <c r="A5" i="4"/>
  <c r="C12" i="4"/>
  <c r="DM5" i="1"/>
  <c r="FM168" i="1"/>
  <c r="FM169" i="1" s="1"/>
  <c r="CP168" i="1"/>
  <c r="FH168" i="1"/>
  <c r="FH169" i="1" s="1"/>
  <c r="EB168" i="1"/>
  <c r="EB169" i="1" s="1"/>
  <c r="EN5" i="1"/>
  <c r="EN4" i="1" s="1"/>
  <c r="EJ168" i="1"/>
  <c r="EJ169" i="1" s="1"/>
  <c r="DW5" i="1"/>
  <c r="DE80" i="1"/>
  <c r="DE58" i="1"/>
  <c r="DZ36" i="1"/>
  <c r="EE227" i="1"/>
  <c r="EE58" i="1"/>
  <c r="EK80" i="1"/>
  <c r="EK58" i="1"/>
  <c r="FC80" i="1"/>
  <c r="FC58" i="1"/>
  <c r="EQ80" i="1"/>
  <c r="EQ58" i="1"/>
  <c r="FJ80" i="1"/>
  <c r="FJ58" i="1"/>
  <c r="EW80" i="1"/>
  <c r="EW58" i="1"/>
  <c r="FH5" i="1"/>
  <c r="EE129" i="1"/>
  <c r="EV168" i="1"/>
  <c r="EV169" i="1" s="1"/>
  <c r="EO168" i="1"/>
  <c r="EO169" i="1" s="1"/>
  <c r="EE67" i="1"/>
  <c r="FO168" i="1"/>
  <c r="FO169" i="1" s="1"/>
  <c r="DV168" i="1"/>
  <c r="DV169" i="1" s="1"/>
  <c r="DP168" i="1"/>
  <c r="EH5" i="1"/>
  <c r="EH4" i="1" s="1"/>
  <c r="EC5" i="1"/>
  <c r="EC4" i="1" s="1"/>
  <c r="EP168" i="1"/>
  <c r="EP169" i="1" s="1"/>
  <c r="DW168" i="1"/>
  <c r="DW169" i="1" s="1"/>
  <c r="FG168" i="1"/>
  <c r="FG169" i="1" s="1"/>
  <c r="ED168" i="1"/>
  <c r="ED169" i="1" s="1"/>
  <c r="FB5" i="1"/>
  <c r="FB4" i="1" s="1"/>
  <c r="FB168" i="1"/>
  <c r="FB169" i="1" s="1"/>
  <c r="FI168" i="1"/>
  <c r="FI169" i="1" s="1"/>
  <c r="FA6" i="1"/>
  <c r="DE57" i="1"/>
  <c r="DI168" i="1"/>
  <c r="DI169" i="1" s="1"/>
  <c r="FC57" i="1"/>
  <c r="DJ168" i="1"/>
  <c r="DJ169" i="1" s="1"/>
  <c r="CO168" i="1"/>
  <c r="EQ57" i="1"/>
  <c r="EW57" i="1"/>
  <c r="EK57" i="1"/>
  <c r="FJ57" i="1"/>
  <c r="EN168" i="1"/>
  <c r="EN169" i="1" s="1"/>
  <c r="FR168" i="1"/>
  <c r="DM168" i="1"/>
  <c r="DM169" i="1" s="1"/>
  <c r="EE57" i="1"/>
  <c r="EH168" i="1"/>
  <c r="EH169" i="1" s="1"/>
  <c r="EZ168" i="1"/>
  <c r="EZ169" i="1" s="1"/>
  <c r="ET168" i="1"/>
  <c r="ET169" i="1" s="1"/>
  <c r="FI5" i="1"/>
  <c r="DX168" i="1"/>
  <c r="FN168" i="1"/>
  <c r="FN169" i="1" s="1"/>
  <c r="EM60" i="1"/>
  <c r="EK60" i="1" s="1"/>
  <c r="EK59" i="1"/>
  <c r="EG60" i="1"/>
  <c r="EE60" i="1" s="1"/>
  <c r="EE59" i="1"/>
  <c r="ET4" i="1"/>
  <c r="FL59" i="1"/>
  <c r="FJ59" i="1" s="1"/>
  <c r="FM60" i="1"/>
  <c r="FL60" i="1" s="1"/>
  <c r="FJ60" i="1" s="1"/>
  <c r="FI6" i="1"/>
  <c r="DG59" i="1"/>
  <c r="DE59" i="1" s="1"/>
  <c r="DH60" i="1"/>
  <c r="DG60" i="1" s="1"/>
  <c r="DE60" i="1" s="1"/>
  <c r="DG179" i="1"/>
  <c r="FE59" i="1"/>
  <c r="FC59" i="1" s="1"/>
  <c r="FF60" i="1"/>
  <c r="FE60" i="1" s="1"/>
  <c r="FC60" i="1" s="1"/>
  <c r="CM102" i="1"/>
  <c r="CL102" i="1" s="1"/>
  <c r="H102" i="1" s="1"/>
  <c r="EQ81" i="1"/>
  <c r="FL14" i="1"/>
  <c r="FL6" i="1" s="1"/>
  <c r="ES59" i="1"/>
  <c r="EQ59" i="1" s="1"/>
  <c r="ET60" i="1"/>
  <c r="ES60" i="1" s="1"/>
  <c r="EQ60" i="1" s="1"/>
  <c r="EY59" i="1"/>
  <c r="EW59" i="1" s="1"/>
  <c r="EZ60" i="1"/>
  <c r="EY60" i="1" s="1"/>
  <c r="EW60" i="1" s="1"/>
  <c r="DK5" i="1"/>
  <c r="DK4" i="1" s="1"/>
  <c r="EU4" i="1"/>
  <c r="DH4" i="1"/>
  <c r="DL4" i="1"/>
  <c r="EE245" i="1"/>
  <c r="EE106" i="1"/>
  <c r="EE134" i="1"/>
  <c r="EE33" i="1"/>
  <c r="EE111" i="1"/>
  <c r="EE197" i="1"/>
  <c r="EE104" i="1"/>
  <c r="EE46" i="1"/>
  <c r="EE39" i="1"/>
  <c r="EE207" i="1"/>
  <c r="EE264" i="1"/>
  <c r="EE247" i="1"/>
  <c r="EE42" i="1"/>
  <c r="EE222" i="1"/>
  <c r="EE36" i="1"/>
  <c r="EE138" i="1"/>
  <c r="EE32" i="1"/>
  <c r="EE20" i="1"/>
  <c r="EE225" i="1"/>
  <c r="EE126" i="1"/>
  <c r="EE182" i="1"/>
  <c r="EE261" i="1"/>
  <c r="EE80" i="1"/>
  <c r="EB5" i="1"/>
  <c r="EE44" i="1"/>
  <c r="EE136" i="1"/>
  <c r="EE250" i="1"/>
  <c r="EE45" i="1"/>
  <c r="EE132" i="1"/>
  <c r="EE17" i="1"/>
  <c r="EE137" i="1"/>
  <c r="EE148" i="1"/>
  <c r="EE143" i="1"/>
  <c r="EE257" i="1"/>
  <c r="EE254" i="1"/>
  <c r="EE21" i="1"/>
  <c r="EE214" i="1"/>
  <c r="EE248" i="1"/>
  <c r="EE30" i="1"/>
  <c r="EE121" i="1"/>
  <c r="EE215" i="1"/>
  <c r="EE16" i="1"/>
  <c r="EE133" i="1"/>
  <c r="EE142" i="1"/>
  <c r="EE24" i="1"/>
  <c r="EE262" i="1"/>
  <c r="EE81" i="1"/>
  <c r="EE99" i="1"/>
  <c r="EE95" i="1"/>
  <c r="EE43" i="1"/>
  <c r="EE62" i="1"/>
  <c r="EE105" i="1"/>
  <c r="EE176" i="1"/>
  <c r="EE98" i="1"/>
  <c r="EE196" i="1"/>
  <c r="EE187" i="1"/>
  <c r="EE258" i="1"/>
  <c r="EE38" i="1"/>
  <c r="EE157" i="1"/>
  <c r="EE252" i="1"/>
  <c r="EE109" i="1"/>
  <c r="EE125" i="1"/>
  <c r="EE211" i="1"/>
  <c r="EE244" i="1"/>
  <c r="EE40" i="1"/>
  <c r="EE194" i="1"/>
  <c r="EE110" i="1"/>
  <c r="EE116" i="1"/>
  <c r="EE128" i="1"/>
  <c r="EE107" i="1"/>
  <c r="EE78" i="1"/>
  <c r="EE25" i="1"/>
  <c r="EE242" i="1"/>
  <c r="EE113" i="1"/>
  <c r="EE50" i="1"/>
  <c r="EE224" i="1"/>
  <c r="EE181" i="1"/>
  <c r="EE114" i="1"/>
  <c r="EE26" i="1"/>
  <c r="EE149" i="1"/>
  <c r="EE220" i="1"/>
  <c r="EE13" i="1"/>
  <c r="EE146" i="1"/>
  <c r="EE71" i="1"/>
  <c r="EE122" i="1"/>
  <c r="EE174" i="1"/>
  <c r="EE12" i="1"/>
  <c r="EE183" i="1"/>
  <c r="EE213" i="1"/>
  <c r="EE239" i="1"/>
  <c r="EE268" i="1"/>
  <c r="EE22" i="1"/>
  <c r="EE28" i="1"/>
  <c r="EE270" i="1"/>
  <c r="EE265" i="1"/>
  <c r="EE210" i="1"/>
  <c r="EE48" i="1"/>
  <c r="EE34" i="1"/>
  <c r="EE259" i="1"/>
  <c r="EE206" i="1"/>
  <c r="EE100" i="1"/>
  <c r="EE94" i="1"/>
  <c r="EE156" i="1"/>
  <c r="EE171" i="1"/>
  <c r="EE29" i="1"/>
  <c r="EE68" i="1"/>
  <c r="EE188" i="1"/>
  <c r="EE240" i="1"/>
  <c r="EE271" i="1"/>
  <c r="EE139" i="1"/>
  <c r="EE130" i="1"/>
  <c r="EE147" i="1"/>
  <c r="EE120" i="1"/>
  <c r="EE267" i="1"/>
  <c r="EE49" i="1"/>
  <c r="EE166" i="1"/>
  <c r="EE70" i="1"/>
  <c r="EE208" i="1"/>
  <c r="EE177" i="1"/>
  <c r="EE269" i="1"/>
  <c r="EE35" i="1"/>
  <c r="EE190" i="1"/>
  <c r="E17" i="4"/>
  <c r="E16" i="4"/>
  <c r="E14" i="4"/>
  <c r="K28" i="4"/>
  <c r="L11" i="4"/>
  <c r="C27" i="4"/>
  <c r="A24" i="4"/>
  <c r="A25" i="4"/>
  <c r="A26" i="4"/>
  <c r="E21" i="4"/>
  <c r="E20" i="4"/>
  <c r="E19" i="4"/>
  <c r="E18" i="4"/>
  <c r="G41" i="4"/>
  <c r="EZ4" i="1"/>
  <c r="EB6" i="1"/>
  <c r="DT18" i="1"/>
  <c r="FM5" i="1"/>
  <c r="FM6" i="1"/>
  <c r="CM158" i="1"/>
  <c r="CL158" i="1" s="1"/>
  <c r="H158" i="1" s="1"/>
  <c r="EE158" i="1"/>
  <c r="EV6" i="1"/>
  <c r="DZ167" i="1"/>
  <c r="DT167" i="1"/>
  <c r="FM97" i="1"/>
  <c r="FL97" i="1" s="1"/>
  <c r="DZ158" i="1"/>
  <c r="DG103" i="1"/>
  <c r="FE14" i="1"/>
  <c r="FE5" i="1" s="1"/>
  <c r="CD53" i="1"/>
  <c r="FB53" i="1" s="1"/>
  <c r="EY102" i="1"/>
  <c r="EZ23" i="1"/>
  <c r="EY23" i="1" s="1"/>
  <c r="EE150" i="1"/>
  <c r="EV5" i="1"/>
  <c r="DJ23" i="1"/>
  <c r="DJ123" i="1"/>
  <c r="ET23" i="1"/>
  <c r="ES23" i="1" s="1"/>
  <c r="ES102" i="1"/>
  <c r="FF6" i="1"/>
  <c r="FF4" i="1" s="1"/>
  <c r="DW6" i="1"/>
  <c r="FL102" i="1"/>
  <c r="FM23" i="1"/>
  <c r="FL23" i="1" s="1"/>
  <c r="DJ5" i="1"/>
  <c r="DJ6" i="1"/>
  <c r="G50" i="4"/>
  <c r="G47" i="4"/>
  <c r="G48" i="4"/>
  <c r="G51" i="4"/>
  <c r="ED6" i="1"/>
  <c r="EP5" i="1"/>
  <c r="ED5" i="1"/>
  <c r="FN5" i="1"/>
  <c r="FN4" i="1" s="1"/>
  <c r="EO6" i="1"/>
  <c r="EO4" i="1" s="1"/>
  <c r="DG102" i="1"/>
  <c r="DH123" i="1"/>
  <c r="DH23" i="1"/>
  <c r="EG14" i="1"/>
  <c r="EE14" i="1" s="1"/>
  <c r="EY51" i="1"/>
  <c r="DL168" i="1"/>
  <c r="DL169" i="1" s="1"/>
  <c r="EC168" i="1"/>
  <c r="EC169" i="1" s="1"/>
  <c r="FF23" i="1"/>
  <c r="FE23" i="1" s="1"/>
  <c r="FE102" i="1"/>
  <c r="FH6" i="1"/>
  <c r="FE97" i="1"/>
  <c r="DA168" i="1"/>
  <c r="FA168" i="1"/>
  <c r="FA169" i="1" s="1"/>
  <c r="EU168" i="1"/>
  <c r="FF168" i="1"/>
  <c r="FG5" i="1"/>
  <c r="EN23" i="1"/>
  <c r="EM102" i="1"/>
  <c r="EM23" i="1" s="1"/>
  <c r="FG6" i="1"/>
  <c r="DT190" i="1"/>
  <c r="FL169" i="1"/>
  <c r="EI5" i="1"/>
  <c r="CM63" i="1"/>
  <c r="CL63" i="1" s="1"/>
  <c r="H63" i="1" s="1"/>
  <c r="EH23" i="1"/>
  <c r="EG102" i="1"/>
  <c r="EG23" i="1" s="1"/>
  <c r="EE172" i="1"/>
  <c r="FL168" i="1"/>
  <c r="DI6" i="1"/>
  <c r="DI4" i="1" s="1"/>
  <c r="DM6" i="1"/>
  <c r="DX5" i="1"/>
  <c r="DX4" i="1" s="1"/>
  <c r="DZ14" i="1"/>
  <c r="EP6" i="1"/>
  <c r="DK168" i="1"/>
  <c r="DR168" i="1"/>
  <c r="EI168" i="1"/>
  <c r="EI169" i="1" s="1"/>
  <c r="FA5" i="1"/>
  <c r="EI6" i="1"/>
  <c r="K23" i="4"/>
  <c r="G39" i="4"/>
  <c r="G40" i="4"/>
  <c r="A23" i="4"/>
  <c r="D29" i="4"/>
  <c r="C28" i="4"/>
  <c r="K27" i="4"/>
  <c r="K26" i="4"/>
  <c r="K25" i="4"/>
  <c r="K24" i="4"/>
  <c r="T55" i="1"/>
  <c r="BR54" i="1"/>
  <c r="BS54" i="1"/>
  <c r="I54" i="1"/>
  <c r="J54" i="1"/>
  <c r="N18" i="1"/>
  <c r="CQ52" i="1"/>
  <c r="CN52" i="1" s="1"/>
  <c r="CP52" i="1"/>
  <c r="CO52" i="1"/>
  <c r="DK52" i="1"/>
  <c r="EI52" i="1"/>
  <c r="EO52" i="1"/>
  <c r="DW52" i="1"/>
  <c r="ET52" i="1"/>
  <c r="FG52" i="1"/>
  <c r="EB52" i="1"/>
  <c r="DV52" i="1"/>
  <c r="CG52" i="1"/>
  <c r="M52" i="1" s="1"/>
  <c r="FN52" i="1"/>
  <c r="EJ52" i="1"/>
  <c r="FM52" i="1"/>
  <c r="DI52" i="1"/>
  <c r="FF52" i="1"/>
  <c r="FH52" i="1"/>
  <c r="FA52" i="1"/>
  <c r="EU52" i="1"/>
  <c r="FB52" i="1"/>
  <c r="EN52" i="1"/>
  <c r="EC52" i="1"/>
  <c r="DL52" i="1"/>
  <c r="DH52" i="1"/>
  <c r="EV52" i="1"/>
  <c r="FO52" i="1"/>
  <c r="DX52" i="1"/>
  <c r="FI52" i="1"/>
  <c r="EH52" i="1"/>
  <c r="DJ52" i="1"/>
  <c r="EZ52" i="1"/>
  <c r="ED52" i="1"/>
  <c r="EP52" i="1"/>
  <c r="EH180" i="1"/>
  <c r="EG179" i="1"/>
  <c r="EG180" i="1" s="1"/>
  <c r="CF53" i="1"/>
  <c r="K53" i="1"/>
  <c r="CH53" i="1"/>
  <c r="CI53" i="1"/>
  <c r="L53" i="1"/>
  <c r="CJ53" i="1"/>
  <c r="AP152" i="1"/>
  <c r="CN152" i="1" s="1"/>
  <c r="K151" i="1"/>
  <c r="CI151" i="1"/>
  <c r="EN151" i="1"/>
  <c r="EM151" i="1" s="1"/>
  <c r="EK151" i="1" s="1"/>
  <c r="FM151" i="1"/>
  <c r="FL151" i="1" s="1"/>
  <c r="FJ151" i="1" s="1"/>
  <c r="DJ151" i="1"/>
  <c r="EB151" i="1"/>
  <c r="DZ151" i="1" s="1"/>
  <c r="ET151" i="1"/>
  <c r="ES151" i="1" s="1"/>
  <c r="EQ151" i="1" s="1"/>
  <c r="FF151" i="1"/>
  <c r="FE151" i="1" s="1"/>
  <c r="EH151" i="1"/>
  <c r="EG151" i="1" s="1"/>
  <c r="EE151" i="1" s="1"/>
  <c r="EZ151" i="1"/>
  <c r="EY151" i="1" s="1"/>
  <c r="DH151" i="1"/>
  <c r="DV151" i="1"/>
  <c r="DT151" i="1" s="1"/>
  <c r="EH19" i="1"/>
  <c r="EG18" i="1"/>
  <c r="EN180" i="1"/>
  <c r="EM179" i="1"/>
  <c r="EM180" i="1" s="1"/>
  <c r="ES18" i="1"/>
  <c r="ET19" i="1"/>
  <c r="ES19" i="1" s="1"/>
  <c r="EG61" i="1"/>
  <c r="EG145" i="1"/>
  <c r="DG18" i="1"/>
  <c r="DH19" i="1"/>
  <c r="DG19" i="1" s="1"/>
  <c r="FM180" i="1"/>
  <c r="FL180" i="1" s="1"/>
  <c r="FL179" i="1"/>
  <c r="EM167" i="1"/>
  <c r="AJ192" i="1"/>
  <c r="AK192" i="1" s="1"/>
  <c r="CM192" i="1" s="1"/>
  <c r="CL192" i="1" s="1"/>
  <c r="H192" i="1" s="1"/>
  <c r="AK191" i="1"/>
  <c r="FF19" i="1"/>
  <c r="FE19" i="1" s="1"/>
  <c r="FE18" i="1"/>
  <c r="EY18" i="1"/>
  <c r="EW18" i="1" s="1"/>
  <c r="EZ19" i="1"/>
  <c r="EY19" i="1" s="1"/>
  <c r="FM19" i="1"/>
  <c r="FL19" i="1" s="1"/>
  <c r="FL18" i="1"/>
  <c r="ES179" i="1"/>
  <c r="ET180" i="1"/>
  <c r="ES180" i="1" s="1"/>
  <c r="FF53" i="1"/>
  <c r="FF180" i="1"/>
  <c r="FE180" i="1" s="1"/>
  <c r="FE179" i="1"/>
  <c r="EM61" i="1"/>
  <c r="EM145" i="1"/>
  <c r="DZ18" i="1"/>
  <c r="EM51" i="1"/>
  <c r="EK51" i="1" s="1"/>
  <c r="DG150" i="1"/>
  <c r="EN19" i="1"/>
  <c r="EM18" i="1"/>
  <c r="EM19" i="1" s="1"/>
  <c r="EY179" i="1"/>
  <c r="EZ180" i="1"/>
  <c r="EY180" i="1" s="1"/>
  <c r="DO216" i="1"/>
  <c r="FE185" i="1"/>
  <c r="FF186" i="1"/>
  <c r="FE186" i="1" s="1"/>
  <c r="CM216" i="1"/>
  <c r="CL216" i="1" s="1"/>
  <c r="H216" i="1" s="1"/>
  <c r="G60" i="4"/>
  <c r="EH186" i="1"/>
  <c r="EG185" i="1"/>
  <c r="EG186" i="1" s="1"/>
  <c r="ET186" i="1"/>
  <c r="ES186" i="1" s="1"/>
  <c r="ES185" i="1"/>
  <c r="FM186" i="1"/>
  <c r="FL186" i="1" s="1"/>
  <c r="FL185" i="1"/>
  <c r="FJ185" i="1" s="1"/>
  <c r="DG5" i="1"/>
  <c r="EN186" i="1"/>
  <c r="EM185" i="1"/>
  <c r="EM186" i="1" s="1"/>
  <c r="EE216" i="1"/>
  <c r="DM37" i="1"/>
  <c r="DM228" i="1"/>
  <c r="DM229" i="1" s="1"/>
  <c r="DM230" i="1" s="1"/>
  <c r="DZ117" i="1"/>
  <c r="DH47" i="1"/>
  <c r="DG47" i="1" s="1"/>
  <c r="DG185" i="1"/>
  <c r="DB160" i="1"/>
  <c r="DC160" i="1" s="1"/>
  <c r="AO161" i="1"/>
  <c r="DM160" i="1"/>
  <c r="DM163" i="1" s="1"/>
  <c r="DA160" i="1"/>
  <c r="FR160" i="1"/>
  <c r="EZ186" i="1"/>
  <c r="EY186" i="1" s="1"/>
  <c r="EY185" i="1"/>
  <c r="EW185" i="1" s="1"/>
  <c r="DG6" i="1"/>
  <c r="DZ63" i="1"/>
  <c r="DT63" i="1"/>
  <c r="FL51" i="1"/>
  <c r="FJ51" i="1" s="1"/>
  <c r="CM101" i="1"/>
  <c r="CL101" i="1" s="1"/>
  <c r="H101" i="1" s="1"/>
  <c r="EM117" i="1"/>
  <c r="EM118" i="1" s="1"/>
  <c r="DH200" i="1"/>
  <c r="DG199" i="1"/>
  <c r="AK159" i="1"/>
  <c r="AJ160" i="1"/>
  <c r="FE200" i="1"/>
  <c r="FF201" i="1"/>
  <c r="EG51" i="1"/>
  <c r="FE167" i="1"/>
  <c r="FC167" i="1" s="1"/>
  <c r="N51" i="1"/>
  <c r="FL167" i="1"/>
  <c r="FL5" i="1"/>
  <c r="DE81" i="1"/>
  <c r="EY6" i="1"/>
  <c r="DK235" i="1"/>
  <c r="DG234" i="1"/>
  <c r="EG167" i="1"/>
  <c r="EE167" i="1" s="1"/>
  <c r="EY167" i="1"/>
  <c r="EW167" i="1" s="1"/>
  <c r="EY199" i="1"/>
  <c r="EZ200" i="1"/>
  <c r="FN200" i="1"/>
  <c r="FL199" i="1"/>
  <c r="DG51" i="1"/>
  <c r="DE51" i="1" s="1"/>
  <c r="EY234" i="1"/>
  <c r="EZ235" i="1"/>
  <c r="FE51" i="1"/>
  <c r="DR158" i="1"/>
  <c r="DP158" i="1"/>
  <c r="BI159" i="1"/>
  <c r="EK159" i="1" s="1"/>
  <c r="BF160" i="1"/>
  <c r="ES199" i="1"/>
  <c r="ET200" i="1"/>
  <c r="ES51" i="1"/>
  <c r="EQ51" i="1" s="1"/>
  <c r="DG167" i="1"/>
  <c r="FL234" i="1"/>
  <c r="FM235" i="1"/>
  <c r="EW81" i="1"/>
  <c r="FJ81" i="1"/>
  <c r="FC81" i="1"/>
  <c r="FR102" i="1"/>
  <c r="DB102" i="1"/>
  <c r="DC102" i="1" s="1"/>
  <c r="DA102" i="1"/>
  <c r="DM102" i="1"/>
  <c r="N167" i="1"/>
  <c r="EG83" i="1"/>
  <c r="EE82" i="1"/>
  <c r="EM82" i="1"/>
  <c r="EK81" i="1"/>
  <c r="DV4" i="1"/>
  <c r="DS113" i="1"/>
  <c r="DU113" i="1"/>
  <c r="DO117" i="1"/>
  <c r="CM117" i="1"/>
  <c r="CL117" i="1" s="1"/>
  <c r="H117" i="1" s="1"/>
  <c r="FR52" i="1"/>
  <c r="AO53" i="1"/>
  <c r="DA52" i="1"/>
  <c r="DB52" i="1"/>
  <c r="DC52" i="1" s="1"/>
  <c r="DR52" i="1" s="1"/>
  <c r="DM52" i="1"/>
  <c r="EG63" i="1"/>
  <c r="CM184" i="1"/>
  <c r="CL184" i="1" s="1"/>
  <c r="H184" i="1" s="1"/>
  <c r="DS206" i="1"/>
  <c r="DU206" i="1"/>
  <c r="DS148" i="1"/>
  <c r="DU148" i="1"/>
  <c r="DS32" i="1"/>
  <c r="DU32" i="1"/>
  <c r="DS16" i="1"/>
  <c r="DU16" i="1"/>
  <c r="DS269" i="1"/>
  <c r="DU269" i="1"/>
  <c r="DU239" i="1"/>
  <c r="DS239" i="1"/>
  <c r="DS155" i="1"/>
  <c r="DU155" i="1"/>
  <c r="EY5" i="1"/>
  <c r="FL229" i="1"/>
  <c r="FM230" i="1"/>
  <c r="FL230" i="1" s="1"/>
  <c r="BF54" i="1"/>
  <c r="BI53" i="1"/>
  <c r="DT185" i="1"/>
  <c r="EY91" i="1"/>
  <c r="EZ92" i="1"/>
  <c r="EY92" i="1" s="1"/>
  <c r="DP216" i="1"/>
  <c r="DR216" i="1"/>
  <c r="DZ185" i="1"/>
  <c r="DG82" i="1"/>
  <c r="DE82" i="1" s="1"/>
  <c r="DH83" i="1"/>
  <c r="DG83" i="1" s="1"/>
  <c r="FE63" i="1"/>
  <c r="FC63" i="1" s="1"/>
  <c r="FF64" i="1"/>
  <c r="FE64" i="1" s="1"/>
  <c r="DO184" i="1"/>
  <c r="EK67" i="1"/>
  <c r="EK262" i="1"/>
  <c r="EK264" i="1"/>
  <c r="EK254" i="1"/>
  <c r="EK261" i="1"/>
  <c r="EK68" i="1"/>
  <c r="EK143" i="1"/>
  <c r="EK258" i="1"/>
  <c r="EK271" i="1"/>
  <c r="EK224" i="1"/>
  <c r="EK189" i="1"/>
  <c r="EK184" i="1"/>
  <c r="EK139" i="1"/>
  <c r="EK207" i="1"/>
  <c r="EK50" i="1"/>
  <c r="EK183" i="1"/>
  <c r="EK35" i="1"/>
  <c r="EK104" i="1"/>
  <c r="EK34" i="1"/>
  <c r="EK181" i="1"/>
  <c r="EK24" i="1"/>
  <c r="EK175" i="1"/>
  <c r="EK17" i="1"/>
  <c r="EK240" i="1"/>
  <c r="EK190" i="1"/>
  <c r="EK195" i="1"/>
  <c r="EK197" i="1"/>
  <c r="EK133" i="1"/>
  <c r="EK124" i="1"/>
  <c r="EK185" i="1"/>
  <c r="EK210" i="1"/>
  <c r="EK177" i="1"/>
  <c r="EK150" i="1"/>
  <c r="EK194" i="1"/>
  <c r="EK257" i="1"/>
  <c r="EK46" i="1"/>
  <c r="EK227" i="1"/>
  <c r="EK130" i="1"/>
  <c r="EK39" i="1"/>
  <c r="EK174" i="1"/>
  <c r="EK32" i="1"/>
  <c r="EK206" i="1"/>
  <c r="EK16" i="1"/>
  <c r="EK101" i="1"/>
  <c r="EK215" i="1"/>
  <c r="EK176" i="1"/>
  <c r="EK196" i="1"/>
  <c r="EK259" i="1"/>
  <c r="EK269" i="1"/>
  <c r="EK126" i="1"/>
  <c r="EK208" i="1"/>
  <c r="EK48" i="1"/>
  <c r="EK40" i="1"/>
  <c r="EK12" i="1"/>
  <c r="EK142" i="1"/>
  <c r="EK213" i="1"/>
  <c r="EK182" i="1"/>
  <c r="EK244" i="1"/>
  <c r="EK211" i="1"/>
  <c r="EK110" i="1"/>
  <c r="EK148" i="1"/>
  <c r="EK225" i="1"/>
  <c r="EK165" i="1"/>
  <c r="EK114" i="1"/>
  <c r="EK113" i="1"/>
  <c r="EK140" i="1"/>
  <c r="EK137" i="1"/>
  <c r="EK20" i="1"/>
  <c r="EK188" i="1"/>
  <c r="EK98" i="1"/>
  <c r="EK122" i="1"/>
  <c r="EK187" i="1"/>
  <c r="EK265" i="1"/>
  <c r="EK71" i="1"/>
  <c r="EK70" i="1"/>
  <c r="EK134" i="1"/>
  <c r="EK170" i="1"/>
  <c r="EK109" i="1"/>
  <c r="EK214" i="1"/>
  <c r="EK149" i="1"/>
  <c r="EK38" i="1"/>
  <c r="EK270" i="1"/>
  <c r="EK99" i="1"/>
  <c r="EK45" i="1"/>
  <c r="EK242" i="1"/>
  <c r="EK226" i="1"/>
  <c r="EK22" i="1"/>
  <c r="EK239" i="1"/>
  <c r="EK167" i="1"/>
  <c r="EK121" i="1"/>
  <c r="EK132" i="1"/>
  <c r="EK100" i="1"/>
  <c r="EK216" i="1"/>
  <c r="EK29" i="1"/>
  <c r="EK43" i="1"/>
  <c r="EK95" i="1"/>
  <c r="EK105" i="1"/>
  <c r="EK222" i="1"/>
  <c r="EK116" i="1"/>
  <c r="EK26" i="1"/>
  <c r="EK252" i="1"/>
  <c r="EK36" i="1"/>
  <c r="EK158" i="1"/>
  <c r="EK30" i="1"/>
  <c r="EK107" i="1"/>
  <c r="EK78" i="1"/>
  <c r="EK62" i="1"/>
  <c r="EK267" i="1"/>
  <c r="EK245" i="1"/>
  <c r="EK120" i="1"/>
  <c r="EK146" i="1"/>
  <c r="EK13" i="1"/>
  <c r="EK94" i="1"/>
  <c r="EK268" i="1"/>
  <c r="EK44" i="1"/>
  <c r="EK247" i="1"/>
  <c r="EK171" i="1"/>
  <c r="EK138" i="1"/>
  <c r="EK49" i="1"/>
  <c r="EK166" i="1"/>
  <c r="EK125" i="1"/>
  <c r="EK21" i="1"/>
  <c r="EK156" i="1"/>
  <c r="EK128" i="1"/>
  <c r="EK155" i="1"/>
  <c r="EK129" i="1"/>
  <c r="EK33" i="1"/>
  <c r="EK221" i="1"/>
  <c r="EK136" i="1"/>
  <c r="EK28" i="1"/>
  <c r="EK147" i="1"/>
  <c r="EK220" i="1"/>
  <c r="EK248" i="1"/>
  <c r="EK157" i="1"/>
  <c r="EK111" i="1"/>
  <c r="EK250" i="1"/>
  <c r="EK106" i="1"/>
  <c r="EK42" i="1"/>
  <c r="EK25" i="1"/>
  <c r="EK172" i="1"/>
  <c r="EK14" i="1"/>
  <c r="DG229" i="1"/>
  <c r="DH230" i="1"/>
  <c r="DG230" i="1" s="1"/>
  <c r="DU12" i="1"/>
  <c r="DS12" i="1"/>
  <c r="H267" i="1"/>
  <c r="CT267" i="1"/>
  <c r="CT220" i="1"/>
  <c r="H220" i="1"/>
  <c r="DU116" i="1"/>
  <c r="DS116" i="1"/>
  <c r="H20" i="1"/>
  <c r="CT20" i="1"/>
  <c r="CT210" i="1"/>
  <c r="H210" i="1"/>
  <c r="CT32" i="1"/>
  <c r="H32" i="1"/>
  <c r="DO140" i="1"/>
  <c r="DO101" i="1"/>
  <c r="DS207" i="1"/>
  <c r="DU207" i="1"/>
  <c r="EE184" i="1"/>
  <c r="FE88" i="1"/>
  <c r="FF89" i="1"/>
  <c r="FE89" i="1" s="1"/>
  <c r="DG117" i="1"/>
  <c r="DE117" i="1" s="1"/>
  <c r="DH118" i="1"/>
  <c r="DG118" i="1" s="1"/>
  <c r="EG97" i="1"/>
  <c r="DP190" i="1"/>
  <c r="DR190" i="1"/>
  <c r="BI217" i="1"/>
  <c r="EK217" i="1" s="1"/>
  <c r="BF218" i="1"/>
  <c r="BI218" i="1" s="1"/>
  <c r="EK218" i="1" s="1"/>
  <c r="DZ216" i="1"/>
  <c r="DZ190" i="1"/>
  <c r="DZ177" i="1"/>
  <c r="DP51" i="1"/>
  <c r="DS98" i="1"/>
  <c r="DU98" i="1"/>
  <c r="EY63" i="1"/>
  <c r="EW63" i="1" s="1"/>
  <c r="EZ64" i="1"/>
  <c r="EY64" i="1" s="1"/>
  <c r="EY88" i="1"/>
  <c r="EZ89" i="1"/>
  <c r="EY89" i="1" s="1"/>
  <c r="DU20" i="1"/>
  <c r="DS20" i="1"/>
  <c r="DU225" i="1"/>
  <c r="DS225" i="1"/>
  <c r="DS165" i="1"/>
  <c r="DU165" i="1"/>
  <c r="DS78" i="1"/>
  <c r="DU78" i="1"/>
  <c r="CT224" i="1"/>
  <c r="H224" i="1"/>
  <c r="DO151" i="1"/>
  <c r="CM178" i="1"/>
  <c r="CL178" i="1" s="1"/>
  <c r="H178" i="1" s="1"/>
  <c r="CT113" i="1"/>
  <c r="H113" i="1"/>
  <c r="DS215" i="1"/>
  <c r="DU215" i="1"/>
  <c r="CM179" i="1"/>
  <c r="CL179" i="1" s="1"/>
  <c r="H179" i="1" s="1"/>
  <c r="EW262" i="1"/>
  <c r="EW254" i="1"/>
  <c r="EW261" i="1"/>
  <c r="EW264" i="1"/>
  <c r="EX264" i="1" s="1"/>
  <c r="EW67" i="1"/>
  <c r="EX67" i="1" s="1"/>
  <c r="EW150" i="1"/>
  <c r="EW183" i="1"/>
  <c r="EW40" i="1"/>
  <c r="EW126" i="1"/>
  <c r="EW207" i="1"/>
  <c r="EX207" i="1" s="1"/>
  <c r="EW244" i="1"/>
  <c r="EX244" i="1" s="1"/>
  <c r="EW137" i="1"/>
  <c r="EW215" i="1"/>
  <c r="EX215" i="1" s="1"/>
  <c r="EW176" i="1"/>
  <c r="EW12" i="1"/>
  <c r="EX12" i="1" s="1"/>
  <c r="EW142" i="1"/>
  <c r="EW143" i="1"/>
  <c r="EW110" i="1"/>
  <c r="EW257" i="1"/>
  <c r="EW224" i="1"/>
  <c r="EX224" i="1" s="1"/>
  <c r="EW46" i="1"/>
  <c r="EW184" i="1"/>
  <c r="EW213" i="1"/>
  <c r="EW124" i="1"/>
  <c r="EW259" i="1"/>
  <c r="EW206" i="1"/>
  <c r="EX206" i="1" s="1"/>
  <c r="EW210" i="1"/>
  <c r="EX210" i="1" s="1"/>
  <c r="EW190" i="1"/>
  <c r="EW130" i="1"/>
  <c r="EW195" i="1"/>
  <c r="EW165" i="1"/>
  <c r="EX165" i="1" s="1"/>
  <c r="EW104" i="1"/>
  <c r="EW122" i="1"/>
  <c r="EW225" i="1"/>
  <c r="EX225" i="1" s="1"/>
  <c r="EW24" i="1"/>
  <c r="EX24" i="1" s="1"/>
  <c r="EW196" i="1"/>
  <c r="EW240" i="1"/>
  <c r="EW98" i="1"/>
  <c r="EX98" i="1" s="1"/>
  <c r="EW258" i="1"/>
  <c r="EW189" i="1"/>
  <c r="EW34" i="1"/>
  <c r="EW133" i="1"/>
  <c r="EW16" i="1"/>
  <c r="EX16" i="1" s="1"/>
  <c r="EW269" i="1"/>
  <c r="EX269" i="1" s="1"/>
  <c r="EW194" i="1"/>
  <c r="EX194" i="1" s="1"/>
  <c r="EW148" i="1"/>
  <c r="EX148" i="1" s="1"/>
  <c r="EW208" i="1"/>
  <c r="EW39" i="1"/>
  <c r="EW174" i="1"/>
  <c r="EW50" i="1"/>
  <c r="EW211" i="1"/>
  <c r="EX211" i="1" s="1"/>
  <c r="EW177" i="1"/>
  <c r="EW101" i="1"/>
  <c r="EW35" i="1"/>
  <c r="EW175" i="1"/>
  <c r="EW227" i="1"/>
  <c r="EW113" i="1"/>
  <c r="EX113" i="1" s="1"/>
  <c r="EW182" i="1"/>
  <c r="EW197" i="1"/>
  <c r="EW271" i="1"/>
  <c r="EW181" i="1"/>
  <c r="EX181" i="1" s="1"/>
  <c r="EW140" i="1"/>
  <c r="EW188" i="1"/>
  <c r="EW48" i="1"/>
  <c r="EX48" i="1" s="1"/>
  <c r="EW114" i="1"/>
  <c r="EW17" i="1"/>
  <c r="EW187" i="1"/>
  <c r="EW20" i="1"/>
  <c r="EX20" i="1" s="1"/>
  <c r="EX7" i="1"/>
  <c r="EW32" i="1"/>
  <c r="EX32" i="1" s="1"/>
  <c r="EW139" i="1"/>
  <c r="EW71" i="1"/>
  <c r="EW68" i="1"/>
  <c r="EX68" i="1" s="1"/>
  <c r="EW265" i="1"/>
  <c r="EW70" i="1"/>
  <c r="EW22" i="1"/>
  <c r="EW157" i="1"/>
  <c r="EW95" i="1"/>
  <c r="EW94" i="1"/>
  <c r="EW125" i="1"/>
  <c r="EW51" i="1"/>
  <c r="EW21" i="1"/>
  <c r="EW43" i="1"/>
  <c r="EW38" i="1"/>
  <c r="EX38" i="1" s="1"/>
  <c r="EW116" i="1"/>
  <c r="EX116" i="1" s="1"/>
  <c r="EW138" i="1"/>
  <c r="EW111" i="1"/>
  <c r="EW49" i="1"/>
  <c r="EW149" i="1"/>
  <c r="EX149" i="1" s="1"/>
  <c r="EW136" i="1"/>
  <c r="EW239" i="1"/>
  <c r="EX239" i="1" s="1"/>
  <c r="EW28" i="1"/>
  <c r="EX28" i="1" s="1"/>
  <c r="EW155" i="1"/>
  <c r="EX155" i="1" s="1"/>
  <c r="EW226" i="1"/>
  <c r="EW100" i="1"/>
  <c r="EW33" i="1"/>
  <c r="EW156" i="1"/>
  <c r="EX156" i="1" s="1"/>
  <c r="EW105" i="1"/>
  <c r="EW220" i="1"/>
  <c r="EX220" i="1" s="1"/>
  <c r="EW107" i="1"/>
  <c r="EW25" i="1"/>
  <c r="EW134" i="1"/>
  <c r="EW170" i="1"/>
  <c r="EW242" i="1"/>
  <c r="EW267" i="1"/>
  <c r="EW30" i="1"/>
  <c r="EW247" i="1"/>
  <c r="EW129" i="1"/>
  <c r="EW109" i="1"/>
  <c r="EX109" i="1" s="1"/>
  <c r="EW78" i="1"/>
  <c r="EX78" i="1" s="1"/>
  <c r="EW62" i="1"/>
  <c r="EW221" i="1"/>
  <c r="EW121" i="1"/>
  <c r="EW222" i="1"/>
  <c r="EW26" i="1"/>
  <c r="EW13" i="1"/>
  <c r="EW268" i="1"/>
  <c r="EW128" i="1"/>
  <c r="EW270" i="1"/>
  <c r="EW250" i="1"/>
  <c r="EW44" i="1"/>
  <c r="EW42" i="1"/>
  <c r="EX42" i="1" s="1"/>
  <c r="EW146" i="1"/>
  <c r="EX146" i="1" s="1"/>
  <c r="EW99" i="1"/>
  <c r="EW147" i="1"/>
  <c r="EW252" i="1"/>
  <c r="EW36" i="1"/>
  <c r="EW158" i="1"/>
  <c r="EW171" i="1"/>
  <c r="EW245" i="1"/>
  <c r="EW106" i="1"/>
  <c r="EW120" i="1"/>
  <c r="EW216" i="1"/>
  <c r="EW214" i="1"/>
  <c r="EX214" i="1" s="1"/>
  <c r="EW132" i="1"/>
  <c r="EW151" i="1"/>
  <c r="EW248" i="1"/>
  <c r="EW166" i="1"/>
  <c r="EW29" i="1"/>
  <c r="EW45" i="1"/>
  <c r="EW172" i="1"/>
  <c r="EW14" i="1"/>
  <c r="DG88" i="1"/>
  <c r="DH89" i="1"/>
  <c r="DG89" i="1" s="1"/>
  <c r="CT239" i="1"/>
  <c r="H239" i="1"/>
  <c r="CT247" i="1"/>
  <c r="H247" i="1"/>
  <c r="CT257" i="1"/>
  <c r="H257" i="1"/>
  <c r="DS244" i="1"/>
  <c r="DU244" i="1"/>
  <c r="H42" i="1"/>
  <c r="CT42" i="1"/>
  <c r="AJ54" i="1"/>
  <c r="AK53" i="1"/>
  <c r="DO172" i="1"/>
  <c r="CM172" i="1"/>
  <c r="CL172" i="1" s="1"/>
  <c r="H172" i="1" s="1"/>
  <c r="DT101" i="1"/>
  <c r="EG117" i="1"/>
  <c r="DG73" i="1"/>
  <c r="DH74" i="1"/>
  <c r="DG74" i="1" s="1"/>
  <c r="ES229" i="1"/>
  <c r="ET230" i="1"/>
  <c r="ES230" i="1" s="1"/>
  <c r="DU28" i="1"/>
  <c r="DS28" i="1"/>
  <c r="H187" i="1"/>
  <c r="CT187" i="1"/>
  <c r="DS68" i="1"/>
  <c r="DU68" i="1"/>
  <c r="FL91" i="1"/>
  <c r="FM92" i="1"/>
  <c r="FL92" i="1" s="1"/>
  <c r="DZ184" i="1"/>
  <c r="FL82" i="1"/>
  <c r="FJ82" i="1" s="1"/>
  <c r="FM83" i="1"/>
  <c r="FL83" i="1" s="1"/>
  <c r="H109" i="1"/>
  <c r="CT109" i="1"/>
  <c r="DP151" i="1"/>
  <c r="DR151" i="1"/>
  <c r="DP101" i="1"/>
  <c r="DR101" i="1"/>
  <c r="DS48" i="1"/>
  <c r="DU48" i="1"/>
  <c r="H12" i="1"/>
  <c r="CT12" i="1"/>
  <c r="CT94" i="1"/>
  <c r="H94" i="1"/>
  <c r="G67" i="4"/>
  <c r="G57" i="4"/>
  <c r="G54" i="4"/>
  <c r="G46" i="4"/>
  <c r="P44" i="4"/>
  <c r="G37" i="4"/>
  <c r="G65" i="4"/>
  <c r="G58" i="4"/>
  <c r="G59" i="4"/>
  <c r="G53" i="4"/>
  <c r="G38" i="4"/>
  <c r="G31" i="4"/>
  <c r="E15" i="4" s="1"/>
  <c r="G55" i="4"/>
  <c r="G45" i="4"/>
  <c r="P48" i="4"/>
  <c r="G33" i="4"/>
  <c r="E13" i="4"/>
  <c r="G49" i="4"/>
  <c r="G35" i="4"/>
  <c r="P45" i="4"/>
  <c r="G66" i="4"/>
  <c r="G52" i="4"/>
  <c r="G36" i="4"/>
  <c r="AA37" i="4" s="1"/>
  <c r="G32" i="4"/>
  <c r="G56" i="4"/>
  <c r="G34" i="4"/>
  <c r="DR185" i="1"/>
  <c r="DP185" i="1"/>
  <c r="DP102" i="1"/>
  <c r="DR102" i="1"/>
  <c r="EM63" i="1"/>
  <c r="CT120" i="1"/>
  <c r="H120" i="1"/>
  <c r="DS264" i="1"/>
  <c r="DU264" i="1"/>
  <c r="DS194" i="1"/>
  <c r="DU194" i="1"/>
  <c r="H78" i="1"/>
  <c r="CT78" i="1"/>
  <c r="H250" i="1"/>
  <c r="CT250" i="1"/>
  <c r="H252" i="1"/>
  <c r="CT252" i="1"/>
  <c r="H181" i="1"/>
  <c r="CT181" i="1"/>
  <c r="EE51" i="1"/>
  <c r="EY82" i="1"/>
  <c r="EW82" i="1" s="1"/>
  <c r="EZ83" i="1"/>
  <c r="EY83" i="1" s="1"/>
  <c r="FC254" i="1"/>
  <c r="FC261" i="1"/>
  <c r="FC264" i="1"/>
  <c r="FD264" i="1" s="1"/>
  <c r="FC262" i="1"/>
  <c r="FC259" i="1"/>
  <c r="FC148" i="1"/>
  <c r="FD148" i="1" s="1"/>
  <c r="FC188" i="1"/>
  <c r="FC224" i="1"/>
  <c r="FC225" i="1"/>
  <c r="FD225" i="1" s="1"/>
  <c r="FC269" i="1"/>
  <c r="FD269" i="1" s="1"/>
  <c r="FC124" i="1"/>
  <c r="FD124" i="1" s="1"/>
  <c r="FC257" i="1"/>
  <c r="FD7" i="1"/>
  <c r="FC207" i="1"/>
  <c r="FD207" i="1" s="1"/>
  <c r="FC98" i="1"/>
  <c r="FD98" i="1" s="1"/>
  <c r="FC122" i="1"/>
  <c r="FC34" i="1"/>
  <c r="FC150" i="1"/>
  <c r="FC104" i="1"/>
  <c r="FC181" i="1"/>
  <c r="FC176" i="1"/>
  <c r="FC175" i="1"/>
  <c r="FC213" i="1"/>
  <c r="FC217" i="1"/>
  <c r="FC185" i="1"/>
  <c r="FC102" i="1"/>
  <c r="FC244" i="1"/>
  <c r="FD244" i="1" s="1"/>
  <c r="FC208" i="1"/>
  <c r="FC271" i="1"/>
  <c r="FC48" i="1"/>
  <c r="FD48" i="1" s="1"/>
  <c r="FC16" i="1"/>
  <c r="FD16" i="1" s="1"/>
  <c r="FC12" i="1"/>
  <c r="FD12" i="1" s="1"/>
  <c r="FC114" i="1"/>
  <c r="FC110" i="1"/>
  <c r="FC184" i="1"/>
  <c r="FC133" i="1"/>
  <c r="FC197" i="1"/>
  <c r="FC32" i="1"/>
  <c r="FD32" i="1" s="1"/>
  <c r="FC258" i="1"/>
  <c r="FC211" i="1"/>
  <c r="FD211" i="1" s="1"/>
  <c r="FC50" i="1"/>
  <c r="FC39" i="1"/>
  <c r="FC126" i="1"/>
  <c r="FC113" i="1"/>
  <c r="FD113" i="1" s="1"/>
  <c r="FC20" i="1"/>
  <c r="FD20" i="1" s="1"/>
  <c r="FC139" i="1"/>
  <c r="FC137" i="1"/>
  <c r="FC46" i="1"/>
  <c r="FC196" i="1"/>
  <c r="FC194" i="1"/>
  <c r="FD194" i="1" s="1"/>
  <c r="FC182" i="1"/>
  <c r="FC17" i="1"/>
  <c r="FC101" i="1"/>
  <c r="FC142" i="1"/>
  <c r="FC140" i="1"/>
  <c r="FC195" i="1"/>
  <c r="FC40" i="1"/>
  <c r="FC206" i="1"/>
  <c r="FD206" i="1" s="1"/>
  <c r="FC190" i="1"/>
  <c r="FC35" i="1"/>
  <c r="FC187" i="1"/>
  <c r="FC143" i="1"/>
  <c r="FC240" i="1"/>
  <c r="FC189" i="1"/>
  <c r="FC177" i="1"/>
  <c r="FC210" i="1"/>
  <c r="FD210" i="1" s="1"/>
  <c r="FC24" i="1"/>
  <c r="FD24" i="1" s="1"/>
  <c r="FC165" i="1"/>
  <c r="FD165" i="1" s="1"/>
  <c r="FC174" i="1"/>
  <c r="FC130" i="1"/>
  <c r="FC227" i="1"/>
  <c r="FC183" i="1"/>
  <c r="FC215" i="1"/>
  <c r="FD215" i="1" s="1"/>
  <c r="FC265" i="1"/>
  <c r="FC67" i="1"/>
  <c r="FD67" i="1" s="1"/>
  <c r="FC71" i="1"/>
  <c r="FC68" i="1"/>
  <c r="FD68" i="1" s="1"/>
  <c r="FC70" i="1"/>
  <c r="FC111" i="1"/>
  <c r="FC221" i="1"/>
  <c r="FC171" i="1"/>
  <c r="FC248" i="1"/>
  <c r="FC26" i="1"/>
  <c r="FC13" i="1"/>
  <c r="FC36" i="1"/>
  <c r="FC267" i="1"/>
  <c r="FC250" i="1"/>
  <c r="FC30" i="1"/>
  <c r="FC105" i="1"/>
  <c r="FC136" i="1"/>
  <c r="FC42" i="1"/>
  <c r="FD42" i="1" s="1"/>
  <c r="FC151" i="1"/>
  <c r="FC51" i="1"/>
  <c r="FC158" i="1"/>
  <c r="FC33" i="1"/>
  <c r="FC128" i="1"/>
  <c r="FC38" i="1"/>
  <c r="FD38" i="1" s="1"/>
  <c r="FC99" i="1"/>
  <c r="FC156" i="1"/>
  <c r="FC44" i="1"/>
  <c r="FC121" i="1"/>
  <c r="FC220" i="1"/>
  <c r="FD220" i="1" s="1"/>
  <c r="FC45" i="1"/>
  <c r="FC109" i="1"/>
  <c r="FD109" i="1" s="1"/>
  <c r="FC94" i="1"/>
  <c r="FC252" i="1"/>
  <c r="FD252" i="1" s="1"/>
  <c r="FC149" i="1"/>
  <c r="FC22" i="1"/>
  <c r="FC247" i="1"/>
  <c r="FC239" i="1"/>
  <c r="FD239" i="1" s="1"/>
  <c r="FC218" i="1"/>
  <c r="FC245" i="1"/>
  <c r="FC155" i="1"/>
  <c r="FD155" i="1" s="1"/>
  <c r="FC100" i="1"/>
  <c r="FC134" i="1"/>
  <c r="FC170" i="1"/>
  <c r="FC78" i="1"/>
  <c r="FD78" i="1" s="1"/>
  <c r="FC21" i="1"/>
  <c r="FC95" i="1"/>
  <c r="FC129" i="1"/>
  <c r="FC49" i="1"/>
  <c r="FC43" i="1"/>
  <c r="FC132" i="1"/>
  <c r="FC147" i="1"/>
  <c r="FC166" i="1"/>
  <c r="FC216" i="1"/>
  <c r="FC268" i="1"/>
  <c r="FD268" i="1" s="1"/>
  <c r="FC146" i="1"/>
  <c r="FD146" i="1" s="1"/>
  <c r="FC62" i="1"/>
  <c r="FC226" i="1"/>
  <c r="FD226" i="1" s="1"/>
  <c r="FC29" i="1"/>
  <c r="FC28" i="1"/>
  <c r="FD28" i="1" s="1"/>
  <c r="FC25" i="1"/>
  <c r="FC116" i="1"/>
  <c r="FD116" i="1" s="1"/>
  <c r="FC242" i="1"/>
  <c r="FD242" i="1" s="1"/>
  <c r="FC270" i="1"/>
  <c r="FC107" i="1"/>
  <c r="FC106" i="1"/>
  <c r="FC159" i="1"/>
  <c r="FC214" i="1"/>
  <c r="FD214" i="1" s="1"/>
  <c r="FC125" i="1"/>
  <c r="FC138" i="1"/>
  <c r="FC120" i="1"/>
  <c r="FC157" i="1"/>
  <c r="FC18" i="1"/>
  <c r="FC222" i="1"/>
  <c r="FC172" i="1"/>
  <c r="FC14" i="1"/>
  <c r="AO192" i="1"/>
  <c r="FR191" i="1"/>
  <c r="DB191" i="1"/>
  <c r="DC191" i="1" s="1"/>
  <c r="DO191" i="1" s="1"/>
  <c r="DM191" i="1"/>
  <c r="DA191" i="1"/>
  <c r="DZ140" i="1"/>
  <c r="EM97" i="1"/>
  <c r="EM5" i="1"/>
  <c r="EM6" i="1"/>
  <c r="CT264" i="1"/>
  <c r="H264" i="1"/>
  <c r="CT174" i="1"/>
  <c r="H174" i="1"/>
  <c r="DU224" i="1"/>
  <c r="DS224" i="1"/>
  <c r="FD224" i="1"/>
  <c r="DU38" i="1"/>
  <c r="DS38" i="1"/>
  <c r="EE140" i="1"/>
  <c r="DT51" i="1"/>
  <c r="FR178" i="1"/>
  <c r="AO179" i="1"/>
  <c r="DB178" i="1"/>
  <c r="DC178" i="1" s="1"/>
  <c r="EW178" i="1" s="1"/>
  <c r="DM178" i="1"/>
  <c r="DA178" i="1"/>
  <c r="FE117" i="1"/>
  <c r="FC117" i="1" s="1"/>
  <c r="FF118" i="1"/>
  <c r="FE118" i="1" s="1"/>
  <c r="ES6" i="1"/>
  <c r="ES4" i="1" s="1"/>
  <c r="DZ102" i="1"/>
  <c r="ES91" i="1"/>
  <c r="ET92" i="1"/>
  <c r="ES92" i="1" s="1"/>
  <c r="ES82" i="1"/>
  <c r="EQ82" i="1" s="1"/>
  <c r="ET83" i="1"/>
  <c r="ES83" i="1" s="1"/>
  <c r="DE70" i="1"/>
  <c r="DE262" i="1"/>
  <c r="DE264" i="1"/>
  <c r="DF264" i="1" s="1"/>
  <c r="DE254" i="1"/>
  <c r="DE261" i="1"/>
  <c r="DE140" i="1"/>
  <c r="DE244" i="1"/>
  <c r="DF244" i="1" s="1"/>
  <c r="DE196" i="1"/>
  <c r="DE124" i="1"/>
  <c r="DF124" i="1" s="1"/>
  <c r="DE195" i="1"/>
  <c r="DE271" i="1"/>
  <c r="DE177" i="1"/>
  <c r="DE213" i="1"/>
  <c r="DE225" i="1"/>
  <c r="DF225" i="1" s="1"/>
  <c r="DE208" i="1"/>
  <c r="DE175" i="1"/>
  <c r="DE187" i="1"/>
  <c r="DE165" i="1"/>
  <c r="DF165" i="1" s="1"/>
  <c r="DE182" i="1"/>
  <c r="DE17" i="1"/>
  <c r="DE12" i="1"/>
  <c r="DF12" i="1" s="1"/>
  <c r="DE39" i="1"/>
  <c r="DE224" i="1"/>
  <c r="DF224" i="1" s="1"/>
  <c r="DE240" i="1"/>
  <c r="DE34" i="1"/>
  <c r="DE217" i="1"/>
  <c r="DE184" i="1"/>
  <c r="DE269" i="1"/>
  <c r="DF269" i="1" s="1"/>
  <c r="DE104" i="1"/>
  <c r="DE101" i="1"/>
  <c r="DE148" i="1"/>
  <c r="DF148" i="1" s="1"/>
  <c r="DE50" i="1"/>
  <c r="DE211" i="1"/>
  <c r="DF211" i="1" s="1"/>
  <c r="DE114" i="1"/>
  <c r="DE48" i="1"/>
  <c r="DF48" i="1" s="1"/>
  <c r="DE257" i="1"/>
  <c r="DE46" i="1"/>
  <c r="DE197" i="1"/>
  <c r="DF7" i="1"/>
  <c r="DE176" i="1"/>
  <c r="DE174" i="1"/>
  <c r="DE35" i="1"/>
  <c r="DE142" i="1"/>
  <c r="DE259" i="1"/>
  <c r="DE189" i="1"/>
  <c r="DE207" i="1"/>
  <c r="DF207" i="1" s="1"/>
  <c r="DE20" i="1"/>
  <c r="DF20" i="1" s="1"/>
  <c r="DE194" i="1"/>
  <c r="DF194" i="1" s="1"/>
  <c r="DE143" i="1"/>
  <c r="DE110" i="1"/>
  <c r="DE258" i="1"/>
  <c r="DE24" i="1"/>
  <c r="DF24" i="1" s="1"/>
  <c r="DE183" i="1"/>
  <c r="DE227" i="1"/>
  <c r="DE190" i="1"/>
  <c r="DE139" i="1"/>
  <c r="DE210" i="1"/>
  <c r="DF210" i="1" s="1"/>
  <c r="DE206" i="1"/>
  <c r="DF206" i="1" s="1"/>
  <c r="DE122" i="1"/>
  <c r="DE130" i="1"/>
  <c r="DE32" i="1"/>
  <c r="DF32" i="1" s="1"/>
  <c r="DE133" i="1"/>
  <c r="DE185" i="1"/>
  <c r="DE137" i="1"/>
  <c r="DE215" i="1"/>
  <c r="DF215" i="1" s="1"/>
  <c r="DE181" i="1"/>
  <c r="DF181" i="1" s="1"/>
  <c r="DE98" i="1"/>
  <c r="DF98" i="1" s="1"/>
  <c r="DE16" i="1"/>
  <c r="DF16" i="1" s="1"/>
  <c r="DE113" i="1"/>
  <c r="DF113" i="1" s="1"/>
  <c r="DE40" i="1"/>
  <c r="DE126" i="1"/>
  <c r="DE150" i="1"/>
  <c r="DE188" i="1"/>
  <c r="DE68" i="1"/>
  <c r="DF68" i="1" s="1"/>
  <c r="DE265" i="1"/>
  <c r="DE71" i="1"/>
  <c r="DE67" i="1"/>
  <c r="DF67" i="1" s="1"/>
  <c r="DE94" i="1"/>
  <c r="DE62" i="1"/>
  <c r="DE18" i="1"/>
  <c r="DE226" i="1"/>
  <c r="DF226" i="1" s="1"/>
  <c r="DE43" i="1"/>
  <c r="DE128" i="1"/>
  <c r="DE167" i="1"/>
  <c r="DE159" i="1"/>
  <c r="DE49" i="1"/>
  <c r="DE107" i="1"/>
  <c r="DE78" i="1"/>
  <c r="DF78" i="1" s="1"/>
  <c r="DE95" i="1"/>
  <c r="DE166" i="1"/>
  <c r="DE214" i="1"/>
  <c r="DF214" i="1" s="1"/>
  <c r="DE38" i="1"/>
  <c r="DF38" i="1" s="1"/>
  <c r="DE30" i="1"/>
  <c r="DE105" i="1"/>
  <c r="DE248" i="1"/>
  <c r="DE116" i="1"/>
  <c r="DF116" i="1" s="1"/>
  <c r="DE13" i="1"/>
  <c r="DE121" i="1"/>
  <c r="DE132" i="1"/>
  <c r="DE146" i="1"/>
  <c r="DF146" i="1" s="1"/>
  <c r="DE222" i="1"/>
  <c r="DE111" i="1"/>
  <c r="DE120" i="1"/>
  <c r="DE216" i="1"/>
  <c r="DE44" i="1"/>
  <c r="DE42" i="1"/>
  <c r="DF42" i="1" s="1"/>
  <c r="DE218" i="1"/>
  <c r="DE125" i="1"/>
  <c r="DE29" i="1"/>
  <c r="DE270" i="1"/>
  <c r="DE171" i="1"/>
  <c r="DE25" i="1"/>
  <c r="DE156" i="1"/>
  <c r="DF156" i="1" s="1"/>
  <c r="DE136" i="1"/>
  <c r="DE99" i="1"/>
  <c r="DE147" i="1"/>
  <c r="DE170" i="1"/>
  <c r="DE36" i="1"/>
  <c r="DE33" i="1"/>
  <c r="DE149" i="1"/>
  <c r="DF149" i="1" s="1"/>
  <c r="DE239" i="1"/>
  <c r="DF239" i="1" s="1"/>
  <c r="DE245" i="1"/>
  <c r="DE26" i="1"/>
  <c r="DE109" i="1"/>
  <c r="DF109" i="1" s="1"/>
  <c r="DE267" i="1"/>
  <c r="DE22" i="1"/>
  <c r="DE134" i="1"/>
  <c r="DE45" i="1"/>
  <c r="DE252" i="1"/>
  <c r="DF252" i="1" s="1"/>
  <c r="DE268" i="1"/>
  <c r="DF268" i="1" s="1"/>
  <c r="DE250" i="1"/>
  <c r="DE28" i="1"/>
  <c r="DF28" i="1" s="1"/>
  <c r="DE220" i="1"/>
  <c r="DF220" i="1" s="1"/>
  <c r="DE129" i="1"/>
  <c r="DE247" i="1"/>
  <c r="DE155" i="1"/>
  <c r="DF155" i="1" s="1"/>
  <c r="DE138" i="1"/>
  <c r="DE106" i="1"/>
  <c r="DE100" i="1"/>
  <c r="DE221" i="1"/>
  <c r="DE242" i="1"/>
  <c r="DF242" i="1" s="1"/>
  <c r="DE21" i="1"/>
  <c r="DE158" i="1"/>
  <c r="DE157" i="1"/>
  <c r="DE172" i="1"/>
  <c r="DE14" i="1"/>
  <c r="DS268" i="1"/>
  <c r="DU268" i="1"/>
  <c r="EX268" i="1"/>
  <c r="CT128" i="1"/>
  <c r="H128" i="1"/>
  <c r="DU210" i="1"/>
  <c r="DS210" i="1"/>
  <c r="DS42" i="1"/>
  <c r="DU42" i="1"/>
  <c r="CT261" i="1"/>
  <c r="H261" i="1"/>
  <c r="ES88" i="1"/>
  <c r="ET89" i="1"/>
  <c r="ES89" i="1" s="1"/>
  <c r="DP140" i="1"/>
  <c r="DR140" i="1"/>
  <c r="FJ68" i="1"/>
  <c r="FK68" i="1" s="1"/>
  <c r="FJ265" i="1"/>
  <c r="FJ262" i="1"/>
  <c r="FJ264" i="1"/>
  <c r="FK264" i="1" s="1"/>
  <c r="FJ254" i="1"/>
  <c r="FJ261" i="1"/>
  <c r="FJ258" i="1"/>
  <c r="FJ184" i="1"/>
  <c r="FJ39" i="1"/>
  <c r="FJ206" i="1"/>
  <c r="FK206" i="1" s="1"/>
  <c r="FJ227" i="1"/>
  <c r="FK227" i="1" s="1"/>
  <c r="FJ16" i="1"/>
  <c r="FK16" i="1" s="1"/>
  <c r="FJ124" i="1"/>
  <c r="FK124" i="1" s="1"/>
  <c r="FJ217" i="1"/>
  <c r="FJ269" i="1"/>
  <c r="FK269" i="1" s="1"/>
  <c r="FJ142" i="1"/>
  <c r="FJ139" i="1"/>
  <c r="FJ126" i="1"/>
  <c r="FJ46" i="1"/>
  <c r="FK7" i="1"/>
  <c r="FJ143" i="1"/>
  <c r="FJ257" i="1"/>
  <c r="FJ225" i="1"/>
  <c r="FK225" i="1" s="1"/>
  <c r="FJ208" i="1"/>
  <c r="FJ130" i="1"/>
  <c r="FJ215" i="1"/>
  <c r="FK215" i="1" s="1"/>
  <c r="FJ32" i="1"/>
  <c r="FK32" i="1" s="1"/>
  <c r="FJ48" i="1"/>
  <c r="FK48" i="1" s="1"/>
  <c r="FJ137" i="1"/>
  <c r="FJ259" i="1"/>
  <c r="FJ244" i="1"/>
  <c r="FK244" i="1" s="1"/>
  <c r="FJ17" i="1"/>
  <c r="FJ12" i="1"/>
  <c r="FK12" i="1" s="1"/>
  <c r="FJ104" i="1"/>
  <c r="FJ196" i="1"/>
  <c r="FJ240" i="1"/>
  <c r="FJ148" i="1"/>
  <c r="FK148" i="1" s="1"/>
  <c r="FJ271" i="1"/>
  <c r="FJ122" i="1"/>
  <c r="FJ224" i="1"/>
  <c r="FK224" i="1" s="1"/>
  <c r="FJ101" i="1"/>
  <c r="FJ133" i="1"/>
  <c r="FJ35" i="1"/>
  <c r="FJ150" i="1"/>
  <c r="FJ187" i="1"/>
  <c r="FJ114" i="1"/>
  <c r="FJ197" i="1"/>
  <c r="FJ213" i="1"/>
  <c r="FJ189" i="1"/>
  <c r="FJ194" i="1"/>
  <c r="FK194" i="1" s="1"/>
  <c r="FJ174" i="1"/>
  <c r="FJ102" i="1"/>
  <c r="FJ177" i="1"/>
  <c r="FJ34" i="1"/>
  <c r="FJ176" i="1"/>
  <c r="FJ98" i="1"/>
  <c r="FK98" i="1" s="1"/>
  <c r="FJ181" i="1"/>
  <c r="FK181" i="1" s="1"/>
  <c r="FJ50" i="1"/>
  <c r="FJ188" i="1"/>
  <c r="FJ183" i="1"/>
  <c r="FJ195" i="1"/>
  <c r="FJ210" i="1"/>
  <c r="FK210" i="1" s="1"/>
  <c r="FJ20" i="1"/>
  <c r="FK20" i="1" s="1"/>
  <c r="FJ113" i="1"/>
  <c r="FK113" i="1" s="1"/>
  <c r="FJ24" i="1"/>
  <c r="FK24" i="1" s="1"/>
  <c r="FJ211" i="1"/>
  <c r="FK211" i="1" s="1"/>
  <c r="FJ182" i="1"/>
  <c r="FJ40" i="1"/>
  <c r="FJ175" i="1"/>
  <c r="FJ190" i="1"/>
  <c r="FJ165" i="1"/>
  <c r="FK165" i="1" s="1"/>
  <c r="FJ207" i="1"/>
  <c r="FK207" i="1" s="1"/>
  <c r="FJ110" i="1"/>
  <c r="FJ140" i="1"/>
  <c r="FJ67" i="1"/>
  <c r="FK67" i="1" s="1"/>
  <c r="FJ71" i="1"/>
  <c r="FJ70" i="1"/>
  <c r="FJ252" i="1"/>
  <c r="FK252" i="1" s="1"/>
  <c r="FJ21" i="1"/>
  <c r="FJ29" i="1"/>
  <c r="FJ267" i="1"/>
  <c r="FJ33" i="1"/>
  <c r="FJ248" i="1"/>
  <c r="FJ147" i="1"/>
  <c r="FJ170" i="1"/>
  <c r="FJ94" i="1"/>
  <c r="FJ268" i="1"/>
  <c r="FK268" i="1" s="1"/>
  <c r="FJ44" i="1"/>
  <c r="FJ99" i="1"/>
  <c r="FJ120" i="1"/>
  <c r="FJ242" i="1"/>
  <c r="FK242" i="1" s="1"/>
  <c r="FJ226" i="1"/>
  <c r="FK226" i="1" s="1"/>
  <c r="FJ250" i="1"/>
  <c r="FJ167" i="1"/>
  <c r="FJ245" i="1"/>
  <c r="FJ216" i="1"/>
  <c r="FJ78" i="1"/>
  <c r="FK78" i="1" s="1"/>
  <c r="FJ18" i="1"/>
  <c r="FJ247" i="1"/>
  <c r="FJ106" i="1"/>
  <c r="FJ129" i="1"/>
  <c r="FJ214" i="1"/>
  <c r="FK214" i="1" s="1"/>
  <c r="FJ125" i="1"/>
  <c r="FJ270" i="1"/>
  <c r="FJ116" i="1"/>
  <c r="FK116" i="1" s="1"/>
  <c r="FJ138" i="1"/>
  <c r="FJ36" i="1"/>
  <c r="FJ149" i="1"/>
  <c r="FK149" i="1" s="1"/>
  <c r="FJ221" i="1"/>
  <c r="FJ30" i="1"/>
  <c r="FJ22" i="1"/>
  <c r="FJ105" i="1"/>
  <c r="FJ146" i="1"/>
  <c r="FK146" i="1" s="1"/>
  <c r="FJ45" i="1"/>
  <c r="FJ62" i="1"/>
  <c r="FJ218" i="1"/>
  <c r="FJ155" i="1"/>
  <c r="FK155" i="1" s="1"/>
  <c r="FJ100" i="1"/>
  <c r="FJ13" i="1"/>
  <c r="FJ128" i="1"/>
  <c r="FJ38" i="1"/>
  <c r="FK38" i="1" s="1"/>
  <c r="FJ42" i="1"/>
  <c r="FK42" i="1" s="1"/>
  <c r="FJ28" i="1"/>
  <c r="FK28" i="1" s="1"/>
  <c r="FJ25" i="1"/>
  <c r="FJ95" i="1"/>
  <c r="FJ134" i="1"/>
  <c r="FJ158" i="1"/>
  <c r="FJ43" i="1"/>
  <c r="FJ136" i="1"/>
  <c r="FJ171" i="1"/>
  <c r="FJ111" i="1"/>
  <c r="FJ49" i="1"/>
  <c r="FJ156" i="1"/>
  <c r="FK156" i="1" s="1"/>
  <c r="FJ239" i="1"/>
  <c r="FK239" i="1" s="1"/>
  <c r="FJ220" i="1"/>
  <c r="FK220" i="1" s="1"/>
  <c r="FJ107" i="1"/>
  <c r="FJ222" i="1"/>
  <c r="FJ157" i="1"/>
  <c r="FJ166" i="1"/>
  <c r="FJ109" i="1"/>
  <c r="FK109" i="1" s="1"/>
  <c r="FJ132" i="1"/>
  <c r="FJ159" i="1"/>
  <c r="FJ121" i="1"/>
  <c r="FJ26" i="1"/>
  <c r="FJ168" i="1"/>
  <c r="FJ172" i="1"/>
  <c r="FJ14" i="1"/>
  <c r="FE73" i="1"/>
  <c r="FF74" i="1"/>
  <c r="FE74" i="1" s="1"/>
  <c r="DS214" i="1"/>
  <c r="DU214" i="1"/>
  <c r="H104" i="1"/>
  <c r="CT104" i="1"/>
  <c r="DU67" i="1"/>
  <c r="DS67" i="1"/>
  <c r="H16" i="1"/>
  <c r="CT16" i="1"/>
  <c r="CT38" i="1"/>
  <c r="H38" i="1"/>
  <c r="DS211" i="1"/>
  <c r="DU211" i="1"/>
  <c r="DU24" i="1"/>
  <c r="DS24" i="1"/>
  <c r="DS124" i="1"/>
  <c r="DU124" i="1"/>
  <c r="EX124" i="1"/>
  <c r="H213" i="1"/>
  <c r="CT213" i="1"/>
  <c r="DU220" i="1"/>
  <c r="DS220" i="1"/>
  <c r="EE101" i="1"/>
  <c r="DA152" i="1"/>
  <c r="DM152" i="1"/>
  <c r="DB152" i="1"/>
  <c r="DC152" i="1" s="1"/>
  <c r="FL117" i="1"/>
  <c r="FJ117" i="1" s="1"/>
  <c r="FM118" i="1"/>
  <c r="FL118" i="1" s="1"/>
  <c r="DT117" i="1"/>
  <c r="DG63" i="1"/>
  <c r="DE63" i="1" s="1"/>
  <c r="DH64" i="1"/>
  <c r="DG64" i="1" s="1"/>
  <c r="EX242" i="1"/>
  <c r="DS242" i="1"/>
  <c r="DU242" i="1"/>
  <c r="DU146" i="1"/>
  <c r="DS146" i="1"/>
  <c r="CT225" i="1"/>
  <c r="H225" i="1"/>
  <c r="CT194" i="1"/>
  <c r="H194" i="1"/>
  <c r="DO102" i="1"/>
  <c r="CM185" i="1"/>
  <c r="CL185" i="1" s="1"/>
  <c r="H185" i="1" s="1"/>
  <c r="DU109" i="1"/>
  <c r="DS109" i="1"/>
  <c r="FE229" i="1"/>
  <c r="FF230" i="1"/>
  <c r="FE230" i="1" s="1"/>
  <c r="EQ265" i="1"/>
  <c r="EQ264" i="1"/>
  <c r="EQ262" i="1"/>
  <c r="EQ254" i="1"/>
  <c r="EQ261" i="1"/>
  <c r="EQ208" i="1"/>
  <c r="EQ50" i="1"/>
  <c r="EQ177" i="1"/>
  <c r="EQ20" i="1"/>
  <c r="EQ181" i="1"/>
  <c r="EQ133" i="1"/>
  <c r="EQ195" i="1"/>
  <c r="EQ190" i="1"/>
  <c r="EQ194" i="1"/>
  <c r="EQ142" i="1"/>
  <c r="EQ143" i="1"/>
  <c r="EQ258" i="1"/>
  <c r="EQ183" i="1"/>
  <c r="EQ227" i="1"/>
  <c r="EQ48" i="1"/>
  <c r="EQ139" i="1"/>
  <c r="EQ24" i="1"/>
  <c r="EQ207" i="1"/>
  <c r="EQ197" i="1"/>
  <c r="EQ34" i="1"/>
  <c r="EQ140" i="1"/>
  <c r="EQ165" i="1"/>
  <c r="EQ225" i="1"/>
  <c r="EQ240" i="1"/>
  <c r="EQ35" i="1"/>
  <c r="EQ124" i="1"/>
  <c r="EQ110" i="1"/>
  <c r="EQ188" i="1"/>
  <c r="EQ196" i="1"/>
  <c r="EQ259" i="1"/>
  <c r="EQ257" i="1"/>
  <c r="EQ185" i="1"/>
  <c r="EQ184" i="1"/>
  <c r="EQ114" i="1"/>
  <c r="EQ175" i="1"/>
  <c r="EQ187" i="1"/>
  <c r="EQ16" i="1"/>
  <c r="EQ150" i="1"/>
  <c r="EQ217" i="1"/>
  <c r="EQ182" i="1"/>
  <c r="EQ126" i="1"/>
  <c r="EQ244" i="1"/>
  <c r="EQ130" i="1"/>
  <c r="EQ176" i="1"/>
  <c r="EQ39" i="1"/>
  <c r="EQ224" i="1"/>
  <c r="EQ271" i="1"/>
  <c r="EQ104" i="1"/>
  <c r="EQ98" i="1"/>
  <c r="EQ213" i="1"/>
  <c r="EQ32" i="1"/>
  <c r="EQ113" i="1"/>
  <c r="EQ102" i="1"/>
  <c r="EQ174" i="1"/>
  <c r="EQ206" i="1"/>
  <c r="EQ211" i="1"/>
  <c r="EQ269" i="1"/>
  <c r="EQ46" i="1"/>
  <c r="EQ122" i="1"/>
  <c r="EQ189" i="1"/>
  <c r="EQ210" i="1"/>
  <c r="EQ215" i="1"/>
  <c r="EQ12" i="1"/>
  <c r="EQ40" i="1"/>
  <c r="EQ137" i="1"/>
  <c r="EQ148" i="1"/>
  <c r="EQ101" i="1"/>
  <c r="EQ17" i="1"/>
  <c r="EQ68" i="1"/>
  <c r="EQ71" i="1"/>
  <c r="EQ70" i="1"/>
  <c r="EQ67" i="1"/>
  <c r="EQ166" i="1"/>
  <c r="EQ250" i="1"/>
  <c r="EQ239" i="1"/>
  <c r="EQ107" i="1"/>
  <c r="EQ100" i="1"/>
  <c r="EQ216" i="1"/>
  <c r="EQ171" i="1"/>
  <c r="EQ106" i="1"/>
  <c r="EQ214" i="1"/>
  <c r="EQ268" i="1"/>
  <c r="EQ36" i="1"/>
  <c r="EQ221" i="1"/>
  <c r="EQ105" i="1"/>
  <c r="EQ170" i="1"/>
  <c r="EQ120" i="1"/>
  <c r="EQ136" i="1"/>
  <c r="EQ25" i="1"/>
  <c r="EQ111" i="1"/>
  <c r="EQ242" i="1"/>
  <c r="EQ94" i="1"/>
  <c r="EQ226" i="1"/>
  <c r="EQ247" i="1"/>
  <c r="EQ147" i="1"/>
  <c r="EQ159" i="1"/>
  <c r="EQ26" i="1"/>
  <c r="EQ157" i="1"/>
  <c r="EQ95" i="1"/>
  <c r="EQ45" i="1"/>
  <c r="EQ270" i="1"/>
  <c r="EQ248" i="1"/>
  <c r="EQ28" i="1"/>
  <c r="EQ13" i="1"/>
  <c r="EQ156" i="1"/>
  <c r="EQ245" i="1"/>
  <c r="EQ121" i="1"/>
  <c r="EQ220" i="1"/>
  <c r="EQ49" i="1"/>
  <c r="EQ18" i="1"/>
  <c r="EQ43" i="1"/>
  <c r="EQ128" i="1"/>
  <c r="EQ146" i="1"/>
  <c r="EQ155" i="1"/>
  <c r="EQ109" i="1"/>
  <c r="EQ78" i="1"/>
  <c r="EQ22" i="1"/>
  <c r="EQ167" i="1"/>
  <c r="EQ222" i="1"/>
  <c r="EQ134" i="1"/>
  <c r="EQ252" i="1"/>
  <c r="EQ21" i="1"/>
  <c r="EQ29" i="1"/>
  <c r="EQ132" i="1"/>
  <c r="EQ129" i="1"/>
  <c r="EQ62" i="1"/>
  <c r="EQ125" i="1"/>
  <c r="EQ158" i="1"/>
  <c r="EQ33" i="1"/>
  <c r="EQ30" i="1"/>
  <c r="EQ42" i="1"/>
  <c r="EQ218" i="1"/>
  <c r="EQ38" i="1"/>
  <c r="EQ116" i="1"/>
  <c r="EQ267" i="1"/>
  <c r="EQ138" i="1"/>
  <c r="EQ44" i="1"/>
  <c r="EQ99" i="1"/>
  <c r="EQ149" i="1"/>
  <c r="EQ14" i="1"/>
  <c r="EQ172" i="1"/>
  <c r="DZ51" i="1"/>
  <c r="FL63" i="1"/>
  <c r="FJ63" i="1" s="1"/>
  <c r="FM64" i="1"/>
  <c r="FL64" i="1" s="1"/>
  <c r="CT254" i="1"/>
  <c r="H254" i="1"/>
  <c r="CT116" i="1"/>
  <c r="H116" i="1"/>
  <c r="EX252" i="1"/>
  <c r="DU252" i="1"/>
  <c r="DS252" i="1"/>
  <c r="DU226" i="1"/>
  <c r="EX226" i="1"/>
  <c r="DS226" i="1"/>
  <c r="EY229" i="1"/>
  <c r="EZ230" i="1"/>
  <c r="EY230" i="1" s="1"/>
  <c r="FE82" i="1"/>
  <c r="FC82" i="1" s="1"/>
  <c r="FF83" i="1"/>
  <c r="FE83" i="1" s="1"/>
  <c r="DR184" i="1"/>
  <c r="DP184" i="1"/>
  <c r="ES63" i="1"/>
  <c r="EQ63" i="1" s="1"/>
  <c r="ET64" i="1"/>
  <c r="ES64" i="1" s="1"/>
  <c r="CT146" i="1"/>
  <c r="CT4" i="1" s="1"/>
  <c r="H146" i="1"/>
  <c r="DU227" i="1"/>
  <c r="DS227" i="1"/>
  <c r="FD227" i="1"/>
  <c r="EX227" i="1"/>
  <c r="DF227" i="1"/>
  <c r="CT67" i="1"/>
  <c r="H67" i="1"/>
  <c r="CT136" i="1"/>
  <c r="H136" i="1"/>
  <c r="H124" i="1"/>
  <c r="CT124" i="1"/>
  <c r="FL73" i="1"/>
  <c r="FM74" i="1"/>
  <c r="FL74" i="1" s="1"/>
  <c r="EY117" i="1"/>
  <c r="EW117" i="1" s="1"/>
  <c r="EZ118" i="1"/>
  <c r="EY118" i="1" s="1"/>
  <c r="N117" i="1"/>
  <c r="FL88" i="1"/>
  <c r="FM89" i="1"/>
  <c r="FL89" i="1" s="1"/>
  <c r="DU149" i="1"/>
  <c r="DS149" i="1"/>
  <c r="FD149" i="1"/>
  <c r="DR178" i="1"/>
  <c r="DP178" i="1"/>
  <c r="CT132" i="1"/>
  <c r="H132" i="1"/>
  <c r="ES73" i="1"/>
  <c r="ET74" i="1"/>
  <c r="ES74" i="1" s="1"/>
  <c r="FE91" i="1"/>
  <c r="FF92" i="1"/>
  <c r="FE92" i="1" s="1"/>
  <c r="DU156" i="1"/>
  <c r="FD156" i="1"/>
  <c r="DS156" i="1"/>
  <c r="CM151" i="1"/>
  <c r="CL151" i="1" s="1"/>
  <c r="H151" i="1" s="1"/>
  <c r="H98" i="1"/>
  <c r="CT98" i="1"/>
  <c r="CT170" i="1"/>
  <c r="H170" i="1"/>
  <c r="CT48" i="1"/>
  <c r="CT6" i="1" s="1"/>
  <c r="H48" i="1"/>
  <c r="H165" i="1"/>
  <c r="CT165" i="1"/>
  <c r="CM191" i="1"/>
  <c r="CL191" i="1" s="1"/>
  <c r="CT62" i="1"/>
  <c r="H62" i="1"/>
  <c r="CT24" i="1"/>
  <c r="H24" i="1"/>
  <c r="FD181" i="1"/>
  <c r="DS181" i="1"/>
  <c r="DU181" i="1"/>
  <c r="DG91" i="1"/>
  <c r="DH92" i="1"/>
  <c r="DG92" i="1" s="1"/>
  <c r="ES117" i="1"/>
  <c r="EQ117" i="1" s="1"/>
  <c r="ET118" i="1"/>
  <c r="ES118" i="1" s="1"/>
  <c r="EY73" i="1"/>
  <c r="EZ74" i="1"/>
  <c r="EY74" i="1" s="1"/>
  <c r="EE185" i="1" l="1"/>
  <c r="CO53" i="1"/>
  <c r="DX53" i="1"/>
  <c r="FI53" i="1"/>
  <c r="EE102" i="1"/>
  <c r="EC53" i="1"/>
  <c r="EV53" i="1"/>
  <c r="DO50" i="1"/>
  <c r="CM50" i="1"/>
  <c r="CL50" i="1" s="1"/>
  <c r="H50" i="1" s="1"/>
  <c r="EN53" i="1"/>
  <c r="FG53" i="1"/>
  <c r="CN168" i="1"/>
  <c r="DM4" i="1"/>
  <c r="EG168" i="1"/>
  <c r="DW4" i="1"/>
  <c r="EE178" i="1"/>
  <c r="EM168" i="1"/>
  <c r="EW159" i="1"/>
  <c r="EG6" i="1"/>
  <c r="FE6" i="1"/>
  <c r="FE4" i="1" s="1"/>
  <c r="EG5" i="1"/>
  <c r="EQ178" i="1"/>
  <c r="FA4" i="1"/>
  <c r="FH4" i="1"/>
  <c r="FI4" i="1"/>
  <c r="DG23" i="1"/>
  <c r="EK18" i="1"/>
  <c r="DJ53" i="1"/>
  <c r="DZ168" i="1"/>
  <c r="CP53" i="1"/>
  <c r="EM52" i="1"/>
  <c r="EK52" i="1" s="1"/>
  <c r="EI53" i="1"/>
  <c r="CG53" i="1"/>
  <c r="M53" i="1" s="1"/>
  <c r="DX169" i="1"/>
  <c r="DT168" i="1"/>
  <c r="DY6" i="1"/>
  <c r="FM4" i="1"/>
  <c r="EV4" i="1"/>
  <c r="FH53" i="1"/>
  <c r="DK53" i="1"/>
  <c r="DW53" i="1"/>
  <c r="FJ178" i="1"/>
  <c r="EH53" i="1"/>
  <c r="ET53" i="1"/>
  <c r="ED53" i="1"/>
  <c r="EZ53" i="1"/>
  <c r="DL53" i="1"/>
  <c r="DH53" i="1"/>
  <c r="EB53" i="1"/>
  <c r="DI53" i="1"/>
  <c r="FM53" i="1"/>
  <c r="EJ53" i="1"/>
  <c r="FN53" i="1"/>
  <c r="EP53" i="1"/>
  <c r="CQ53" i="1"/>
  <c r="N53" i="1" s="1"/>
  <c r="FO53" i="1"/>
  <c r="EO53" i="1"/>
  <c r="EM53" i="1" s="1"/>
  <c r="DV53" i="1"/>
  <c r="EG52" i="1"/>
  <c r="EE52" i="1" s="1"/>
  <c r="FA53" i="1"/>
  <c r="EU53" i="1"/>
  <c r="EP4" i="1"/>
  <c r="FG4" i="1"/>
  <c r="EW102" i="1"/>
  <c r="EB4" i="1"/>
  <c r="FL4" i="1"/>
  <c r="DG123" i="1"/>
  <c r="FR152" i="1"/>
  <c r="DJ4" i="1"/>
  <c r="DY5" i="1"/>
  <c r="DE102" i="1"/>
  <c r="EK102" i="1"/>
  <c r="EY52" i="1"/>
  <c r="ED4" i="1"/>
  <c r="DZ52" i="1"/>
  <c r="EE191" i="1"/>
  <c r="DO63" i="1"/>
  <c r="EK117" i="1"/>
  <c r="EY169" i="1"/>
  <c r="EI4" i="1"/>
  <c r="DG4" i="1"/>
  <c r="DO14" i="1"/>
  <c r="CM14" i="1"/>
  <c r="CL14" i="1" s="1"/>
  <c r="H14" i="1" s="1"/>
  <c r="DK169" i="1"/>
  <c r="DG169" i="1" s="1"/>
  <c r="DG168" i="1"/>
  <c r="DE168" i="1" s="1"/>
  <c r="DZ191" i="1"/>
  <c r="FE168" i="1"/>
  <c r="FC168" i="1" s="1"/>
  <c r="FF169" i="1"/>
  <c r="FE169" i="1" s="1"/>
  <c r="DT191" i="1"/>
  <c r="EU169" i="1"/>
  <c r="ES169" i="1" s="1"/>
  <c r="ES168" i="1"/>
  <c r="EQ168" i="1" s="1"/>
  <c r="FJ191" i="1"/>
  <c r="EY168" i="1"/>
  <c r="EW168" i="1" s="1"/>
  <c r="DG52" i="1"/>
  <c r="DE52" i="1" s="1"/>
  <c r="N52" i="1"/>
  <c r="DO52" i="1"/>
  <c r="EW52" i="1"/>
  <c r="DP52" i="1"/>
  <c r="EG19" i="1"/>
  <c r="EE18" i="1"/>
  <c r="CM18" i="1"/>
  <c r="CL18" i="1" s="1"/>
  <c r="H18" i="1" s="1"/>
  <c r="DO18" i="1"/>
  <c r="K152" i="1"/>
  <c r="CI152" i="1"/>
  <c r="DJ152" i="1"/>
  <c r="EB152" i="1"/>
  <c r="EH152" i="1"/>
  <c r="FM152" i="1"/>
  <c r="EZ152" i="1"/>
  <c r="FF152" i="1"/>
  <c r="DH152" i="1"/>
  <c r="EN152" i="1"/>
  <c r="DV152" i="1"/>
  <c r="DV153" i="1" s="1"/>
  <c r="DV154" i="1" s="1"/>
  <c r="ET152" i="1"/>
  <c r="CF54" i="1"/>
  <c r="CH54" i="1"/>
  <c r="K54" i="1"/>
  <c r="CJ54" i="1"/>
  <c r="CI54" i="1"/>
  <c r="L54" i="1"/>
  <c r="DG151" i="1"/>
  <c r="DE151" i="1" s="1"/>
  <c r="ES52" i="1"/>
  <c r="EQ52" i="1" s="1"/>
  <c r="CD54" i="1"/>
  <c r="FE52" i="1"/>
  <c r="FC52" i="1" s="1"/>
  <c r="BR55" i="1"/>
  <c r="J55" i="1"/>
  <c r="I55" i="1"/>
  <c r="BS55" i="1"/>
  <c r="FL52" i="1"/>
  <c r="FJ52" i="1" s="1"/>
  <c r="DB161" i="1"/>
  <c r="DC161" i="1" s="1"/>
  <c r="FR161" i="1"/>
  <c r="DA161" i="1"/>
  <c r="DM161" i="1"/>
  <c r="AO162" i="1"/>
  <c r="CM159" i="1"/>
  <c r="CL159" i="1" s="1"/>
  <c r="H159" i="1" s="1"/>
  <c r="DO178" i="1"/>
  <c r="DE178" i="1"/>
  <c r="DK249" i="1"/>
  <c r="DG249" i="1" s="1"/>
  <c r="DG235" i="1"/>
  <c r="FF202" i="1"/>
  <c r="FE201" i="1"/>
  <c r="FL235" i="1"/>
  <c r="FM205" i="1"/>
  <c r="FL205" i="1" s="1"/>
  <c r="EY235" i="1"/>
  <c r="EZ205" i="1"/>
  <c r="EY205" i="1" s="1"/>
  <c r="AK160" i="1"/>
  <c r="AJ161" i="1"/>
  <c r="FC178" i="1"/>
  <c r="EY4" i="1"/>
  <c r="DT102" i="1"/>
  <c r="DO167" i="1"/>
  <c r="CM167" i="1"/>
  <c r="CL167" i="1" s="1"/>
  <c r="H167" i="1" s="1"/>
  <c r="DG200" i="1"/>
  <c r="DH201" i="1"/>
  <c r="EW218" i="1"/>
  <c r="ES200" i="1"/>
  <c r="ET201" i="1"/>
  <c r="FN201" i="1"/>
  <c r="FL200" i="1"/>
  <c r="EG169" i="1"/>
  <c r="EE168" i="1"/>
  <c r="DM123" i="1"/>
  <c r="DM23" i="1"/>
  <c r="EY200" i="1"/>
  <c r="EZ201" i="1"/>
  <c r="BI160" i="1"/>
  <c r="BF161" i="1"/>
  <c r="DO51" i="1"/>
  <c r="CM51" i="1"/>
  <c r="CL51" i="1" s="1"/>
  <c r="H51" i="1" s="1"/>
  <c r="DP159" i="1"/>
  <c r="DR159" i="1"/>
  <c r="EE159" i="1"/>
  <c r="DT159" i="1"/>
  <c r="DZ159" i="1"/>
  <c r="DO159" i="1"/>
  <c r="EW217" i="1"/>
  <c r="EM83" i="1"/>
  <c r="EK82" i="1"/>
  <c r="EM4" i="1"/>
  <c r="FC191" i="1"/>
  <c r="V35" i="4"/>
  <c r="DP191" i="1"/>
  <c r="FR179" i="1"/>
  <c r="DB179" i="1"/>
  <c r="DC179" i="1" s="1"/>
  <c r="DA179" i="1"/>
  <c r="DM179" i="1"/>
  <c r="V31" i="4"/>
  <c r="EG64" i="1"/>
  <c r="EE63" i="1"/>
  <c r="EG118" i="1"/>
  <c r="EE117" i="1"/>
  <c r="DP152" i="1"/>
  <c r="BF55" i="1"/>
  <c r="BI55" i="1" s="1"/>
  <c r="BI54" i="1"/>
  <c r="DR152" i="1"/>
  <c r="DT52" i="1"/>
  <c r="EM64" i="1"/>
  <c r="EK63" i="1"/>
  <c r="CT191" i="1"/>
  <c r="H191" i="1"/>
  <c r="DE191" i="1"/>
  <c r="EK178" i="1"/>
  <c r="FR53" i="1"/>
  <c r="AO54" i="1"/>
  <c r="DM53" i="1"/>
  <c r="DA53" i="1"/>
  <c r="DB53" i="1"/>
  <c r="DC53" i="1" s="1"/>
  <c r="DR53" i="1" s="1"/>
  <c r="V37" i="4"/>
  <c r="DZ178" i="1"/>
  <c r="FR192" i="1"/>
  <c r="DA192" i="1"/>
  <c r="DB192" i="1"/>
  <c r="DC192" i="1" s="1"/>
  <c r="DM192" i="1"/>
  <c r="DM193" i="1" s="1"/>
  <c r="DP218" i="1"/>
  <c r="DR218" i="1"/>
  <c r="DZ218" i="1"/>
  <c r="DO218" i="1"/>
  <c r="CM218" i="1"/>
  <c r="CL218" i="1" s="1"/>
  <c r="H218" i="1" s="1"/>
  <c r="DT218" i="1"/>
  <c r="EE218" i="1"/>
  <c r="DT178" i="1"/>
  <c r="DP217" i="1"/>
  <c r="DR217" i="1"/>
  <c r="CM217" i="1"/>
  <c r="CL217" i="1" s="1"/>
  <c r="H217" i="1" s="1"/>
  <c r="DZ217" i="1"/>
  <c r="DT217" i="1"/>
  <c r="EE217" i="1"/>
  <c r="DO217" i="1"/>
  <c r="EK191" i="1"/>
  <c r="V32" i="4"/>
  <c r="AK54" i="1"/>
  <c r="AJ55" i="1"/>
  <c r="AK55" i="1" s="1"/>
  <c r="EW191" i="1"/>
  <c r="CT5" i="1"/>
  <c r="EQ191" i="1"/>
  <c r="DR191" i="1"/>
  <c r="FE53" i="1" l="1"/>
  <c r="DO168" i="1"/>
  <c r="CM168" i="1"/>
  <c r="CL168" i="1" s="1"/>
  <c r="H168" i="1" s="1"/>
  <c r="CN53" i="1"/>
  <c r="CM53" i="1" s="1"/>
  <c r="CL53" i="1" s="1"/>
  <c r="H53" i="1" s="1"/>
  <c r="EG53" i="1"/>
  <c r="EG4" i="1"/>
  <c r="EM169" i="1"/>
  <c r="EK168" i="1"/>
  <c r="FL53" i="1"/>
  <c r="FJ53" i="1" s="1"/>
  <c r="EY53" i="1"/>
  <c r="EW53" i="1" s="1"/>
  <c r="ES53" i="1"/>
  <c r="EQ53" i="1" s="1"/>
  <c r="DG53" i="1"/>
  <c r="DE53" i="1" s="1"/>
  <c r="DT152" i="1"/>
  <c r="CD55" i="1"/>
  <c r="FG54" i="1"/>
  <c r="EI54" i="1"/>
  <c r="FO54" i="1"/>
  <c r="FB54" i="1"/>
  <c r="EN54" i="1"/>
  <c r="EJ54" i="1"/>
  <c r="DV54" i="1"/>
  <c r="DH54" i="1"/>
  <c r="FN54" i="1"/>
  <c r="FA54" i="1"/>
  <c r="DI54" i="1"/>
  <c r="DK54" i="1"/>
  <c r="FH54" i="1"/>
  <c r="EH54" i="1"/>
  <c r="EG54" i="1" s="1"/>
  <c r="EU54" i="1"/>
  <c r="EC54" i="1"/>
  <c r="ED54" i="1"/>
  <c r="DX54" i="1"/>
  <c r="FM54" i="1"/>
  <c r="ET54" i="1"/>
  <c r="DJ54" i="1"/>
  <c r="CP54" i="1"/>
  <c r="EO54" i="1"/>
  <c r="EP54" i="1"/>
  <c r="CQ54" i="1"/>
  <c r="CN54" i="1" s="1"/>
  <c r="DW54" i="1"/>
  <c r="EB54" i="1"/>
  <c r="CO54" i="1"/>
  <c r="FI54" i="1"/>
  <c r="EV54" i="1"/>
  <c r="CG54" i="1"/>
  <c r="M54" i="1" s="1"/>
  <c r="FF54" i="1"/>
  <c r="EZ54" i="1"/>
  <c r="DL54" i="1"/>
  <c r="ES152" i="1"/>
  <c r="EQ152" i="1" s="1"/>
  <c r="ET153" i="1"/>
  <c r="CM52" i="1"/>
  <c r="CL52" i="1" s="1"/>
  <c r="H52" i="1" s="1"/>
  <c r="EN153" i="1"/>
  <c r="EN154" i="1" s="1"/>
  <c r="EM152" i="1"/>
  <c r="DG152" i="1"/>
  <c r="DE152" i="1" s="1"/>
  <c r="FF153" i="1"/>
  <c r="FE152" i="1"/>
  <c r="FC152" i="1" s="1"/>
  <c r="EY152" i="1"/>
  <c r="EW152" i="1" s="1"/>
  <c r="EZ153" i="1"/>
  <c r="FM153" i="1"/>
  <c r="FL152" i="1"/>
  <c r="FJ152" i="1" s="1"/>
  <c r="CI55" i="1"/>
  <c r="CH55" i="1"/>
  <c r="K55" i="1"/>
  <c r="CF55" i="1"/>
  <c r="L55" i="1"/>
  <c r="CJ55" i="1"/>
  <c r="EH153" i="1"/>
  <c r="EH154" i="1" s="1"/>
  <c r="EG152" i="1"/>
  <c r="CQ55" i="1"/>
  <c r="CO55" i="1"/>
  <c r="EP55" i="1"/>
  <c r="EP103" i="1" s="1"/>
  <c r="EP108" i="1" s="1"/>
  <c r="DO152" i="1"/>
  <c r="CM152" i="1"/>
  <c r="CL152" i="1" s="1"/>
  <c r="H152" i="1" s="1"/>
  <c r="CM160" i="1"/>
  <c r="CL160" i="1" s="1"/>
  <c r="H160" i="1" s="1"/>
  <c r="EB153" i="1"/>
  <c r="EB154" i="1" s="1"/>
  <c r="DZ152" i="1"/>
  <c r="DB162" i="1"/>
  <c r="DC162" i="1" s="1"/>
  <c r="DA162" i="1"/>
  <c r="FR162" i="1"/>
  <c r="DM162" i="1"/>
  <c r="DM164" i="1" s="1"/>
  <c r="DT53" i="1"/>
  <c r="DZ53" i="1"/>
  <c r="AJ162" i="1"/>
  <c r="AK162" i="1" s="1"/>
  <c r="AK161" i="1"/>
  <c r="FN202" i="1"/>
  <c r="FL201" i="1"/>
  <c r="BF162" i="1"/>
  <c r="BI162" i="1" s="1"/>
  <c r="BI161" i="1"/>
  <c r="DP160" i="1"/>
  <c r="DR160" i="1"/>
  <c r="DO160" i="1"/>
  <c r="EE160" i="1"/>
  <c r="DT160" i="1"/>
  <c r="DZ160" i="1"/>
  <c r="DE160" i="1"/>
  <c r="EK160" i="1"/>
  <c r="FC160" i="1"/>
  <c r="EQ160" i="1"/>
  <c r="EW160" i="1"/>
  <c r="FJ160" i="1"/>
  <c r="DG201" i="1"/>
  <c r="DH202" i="1"/>
  <c r="ET202" i="1"/>
  <c r="ES201" i="1"/>
  <c r="EZ202" i="1"/>
  <c r="EY201" i="1"/>
  <c r="FE202" i="1"/>
  <c r="FF203" i="1"/>
  <c r="FE203" i="1" s="1"/>
  <c r="FC53" i="1"/>
  <c r="EK53" i="1"/>
  <c r="EW179" i="1"/>
  <c r="FC179" i="1"/>
  <c r="DE179" i="1"/>
  <c r="FJ179" i="1"/>
  <c r="DO179" i="1"/>
  <c r="DP179" i="1"/>
  <c r="DR179" i="1"/>
  <c r="DT179" i="1"/>
  <c r="EE179" i="1"/>
  <c r="EQ179" i="1"/>
  <c r="EK179" i="1"/>
  <c r="DZ179" i="1"/>
  <c r="DO192" i="1"/>
  <c r="FC192" i="1"/>
  <c r="DZ192" i="1"/>
  <c r="DP192" i="1"/>
  <c r="DR192" i="1"/>
  <c r="EW192" i="1"/>
  <c r="DT192" i="1"/>
  <c r="DE192" i="1"/>
  <c r="EK192" i="1"/>
  <c r="EQ192" i="1"/>
  <c r="FJ192" i="1"/>
  <c r="EE192" i="1"/>
  <c r="AO55" i="1"/>
  <c r="DB54" i="1"/>
  <c r="DC54" i="1" s="1"/>
  <c r="DP54" i="1" s="1"/>
  <c r="DA54" i="1"/>
  <c r="FR54" i="1"/>
  <c r="DM54" i="1"/>
  <c r="EE53" i="1"/>
  <c r="DP53" i="1"/>
  <c r="EI55" i="1" l="1"/>
  <c r="EI103" i="1" s="1"/>
  <c r="EI108" i="1" s="1"/>
  <c r="CN55" i="1"/>
  <c r="FG55" i="1"/>
  <c r="FG103" i="1" s="1"/>
  <c r="FG108" i="1" s="1"/>
  <c r="FA55" i="1"/>
  <c r="FA103" i="1" s="1"/>
  <c r="FA108" i="1" s="1"/>
  <c r="EC55" i="1"/>
  <c r="EC103" i="1" s="1"/>
  <c r="EC108" i="1" s="1"/>
  <c r="DI55" i="1"/>
  <c r="DI186" i="1" s="1"/>
  <c r="ED55" i="1"/>
  <c r="ED103" i="1" s="1"/>
  <c r="ED108" i="1" s="1"/>
  <c r="ET55" i="1"/>
  <c r="ET103" i="1" s="1"/>
  <c r="FI55" i="1"/>
  <c r="FI103" i="1" s="1"/>
  <c r="FI108" i="1" s="1"/>
  <c r="DH55" i="1"/>
  <c r="DH186" i="1" s="1"/>
  <c r="DO53" i="1"/>
  <c r="FL54" i="1"/>
  <c r="FJ54" i="1" s="1"/>
  <c r="EM54" i="1"/>
  <c r="EK54" i="1" s="1"/>
  <c r="EN55" i="1"/>
  <c r="EN103" i="1" s="1"/>
  <c r="EN108" i="1" s="1"/>
  <c r="EH55" i="1"/>
  <c r="EH103" i="1" s="1"/>
  <c r="EH108" i="1" s="1"/>
  <c r="EU55" i="1"/>
  <c r="EU103" i="1" s="1"/>
  <c r="EU108" i="1" s="1"/>
  <c r="EJ55" i="1"/>
  <c r="EJ103" i="1" s="1"/>
  <c r="EJ108" i="1" s="1"/>
  <c r="EZ55" i="1"/>
  <c r="EZ103" i="1" s="1"/>
  <c r="FH55" i="1"/>
  <c r="FH103" i="1" s="1"/>
  <c r="FH108" i="1" s="1"/>
  <c r="ES54" i="1"/>
  <c r="EQ54" i="1" s="1"/>
  <c r="DL55" i="1"/>
  <c r="DL186" i="1" s="1"/>
  <c r="DW55" i="1"/>
  <c r="DW103" i="1" s="1"/>
  <c r="DW108" i="1" s="1"/>
  <c r="EO55" i="1"/>
  <c r="EO103" i="1" s="1"/>
  <c r="EO108" i="1" s="1"/>
  <c r="DK55" i="1"/>
  <c r="DK186" i="1" s="1"/>
  <c r="DJ55" i="1"/>
  <c r="DJ186" i="1" s="1"/>
  <c r="FB55" i="1"/>
  <c r="FB103" i="1" s="1"/>
  <c r="FB108" i="1" s="1"/>
  <c r="FO55" i="1"/>
  <c r="FO103" i="1" s="1"/>
  <c r="FO108" i="1" s="1"/>
  <c r="DV55" i="1"/>
  <c r="DV103" i="1" s="1"/>
  <c r="DV108" i="1" s="1"/>
  <c r="CP55" i="1"/>
  <c r="CP4" i="1" s="1"/>
  <c r="CP2" i="1" s="1"/>
  <c r="FF55" i="1"/>
  <c r="FF103" i="1" s="1"/>
  <c r="CG55" i="1"/>
  <c r="M55" i="1" s="1"/>
  <c r="EV55" i="1"/>
  <c r="EV103" i="1" s="1"/>
  <c r="EV108" i="1" s="1"/>
  <c r="EB55" i="1"/>
  <c r="EB103" i="1" s="1"/>
  <c r="EB108" i="1" s="1"/>
  <c r="DX55" i="1"/>
  <c r="DX103" i="1" s="1"/>
  <c r="DX108" i="1" s="1"/>
  <c r="FM55" i="1"/>
  <c r="FN55" i="1"/>
  <c r="FN103" i="1" s="1"/>
  <c r="FN108" i="1" s="1"/>
  <c r="CM161" i="1"/>
  <c r="CL161" i="1" s="1"/>
  <c r="H161" i="1" s="1"/>
  <c r="CM54" i="1"/>
  <c r="CL54" i="1" s="1"/>
  <c r="H54" i="1" s="1"/>
  <c r="N55" i="1"/>
  <c r="EY54" i="1"/>
  <c r="EW54" i="1" s="1"/>
  <c r="FE54" i="1"/>
  <c r="FC54" i="1" s="1"/>
  <c r="EG153" i="1"/>
  <c r="EG154" i="1" s="1"/>
  <c r="EE152" i="1"/>
  <c r="FF154" i="1"/>
  <c r="FE154" i="1" s="1"/>
  <c r="FE153" i="1"/>
  <c r="EY153" i="1"/>
  <c r="EZ154" i="1"/>
  <c r="EY154" i="1" s="1"/>
  <c r="DG54" i="1"/>
  <c r="DE54" i="1" s="1"/>
  <c r="EM153" i="1"/>
  <c r="EM154" i="1" s="1"/>
  <c r="EK152" i="1"/>
  <c r="DO54" i="1"/>
  <c r="CO4" i="1"/>
  <c r="CO2" i="1" s="1"/>
  <c r="ET154" i="1"/>
  <c r="ES154" i="1" s="1"/>
  <c r="ES153" i="1"/>
  <c r="FM154" i="1"/>
  <c r="FL154" i="1" s="1"/>
  <c r="FL153" i="1"/>
  <c r="N54" i="1"/>
  <c r="CQ4" i="1"/>
  <c r="CQ2" i="1" s="1"/>
  <c r="CM162" i="1"/>
  <c r="CL162" i="1" s="1"/>
  <c r="H162" i="1" s="1"/>
  <c r="DR54" i="1"/>
  <c r="EY202" i="1"/>
  <c r="EZ203" i="1"/>
  <c r="EY203" i="1" s="1"/>
  <c r="ES202" i="1"/>
  <c r="ET203" i="1"/>
  <c r="ES203" i="1" s="1"/>
  <c r="DH203" i="1"/>
  <c r="DG203" i="1" s="1"/>
  <c r="DG202" i="1"/>
  <c r="DP161" i="1"/>
  <c r="DR161" i="1"/>
  <c r="EE161" i="1"/>
  <c r="DO161" i="1"/>
  <c r="DZ161" i="1"/>
  <c r="DT161" i="1"/>
  <c r="FJ161" i="1"/>
  <c r="FC161" i="1"/>
  <c r="DE161" i="1"/>
  <c r="EQ161" i="1"/>
  <c r="EW161" i="1"/>
  <c r="EK161" i="1"/>
  <c r="DP162" i="1"/>
  <c r="DR162" i="1"/>
  <c r="DO162" i="1"/>
  <c r="DZ162" i="1"/>
  <c r="DT162" i="1"/>
  <c r="EE162" i="1"/>
  <c r="EW162" i="1"/>
  <c r="FJ162" i="1"/>
  <c r="EK162" i="1"/>
  <c r="DE162" i="1"/>
  <c r="EQ162" i="1"/>
  <c r="FC162" i="1"/>
  <c r="FN203" i="1"/>
  <c r="FL203" i="1" s="1"/>
  <c r="FL202" i="1"/>
  <c r="FR55" i="1"/>
  <c r="DM55" i="1"/>
  <c r="DM186" i="1" s="1"/>
  <c r="DB55" i="1"/>
  <c r="DC55" i="1" s="1"/>
  <c r="DA55" i="1"/>
  <c r="DT54" i="1"/>
  <c r="DZ54" i="1"/>
  <c r="EE54" i="1"/>
  <c r="CM55" i="1" l="1"/>
  <c r="CL55" i="1" s="1"/>
  <c r="H55" i="1" s="1"/>
  <c r="EG55" i="1"/>
  <c r="EG103" i="1" s="1"/>
  <c r="EG108" i="1" s="1"/>
  <c r="DG186" i="1"/>
  <c r="FL55" i="1"/>
  <c r="FJ55" i="1" s="1"/>
  <c r="FE55" i="1"/>
  <c r="FC55" i="1" s="1"/>
  <c r="EY55" i="1"/>
  <c r="EW55" i="1" s="1"/>
  <c r="EM55" i="1"/>
  <c r="EM103" i="1" s="1"/>
  <c r="EM108" i="1" s="1"/>
  <c r="DG55" i="1"/>
  <c r="DE55" i="1" s="1"/>
  <c r="FM103" i="1"/>
  <c r="FL103" i="1" s="1"/>
  <c r="ES55" i="1"/>
  <c r="CN4" i="1"/>
  <c r="CN2" i="1" s="1"/>
  <c r="FM108" i="1"/>
  <c r="FL108" i="1" s="1"/>
  <c r="ES103" i="1"/>
  <c r="ET108" i="1"/>
  <c r="ES108" i="1" s="1"/>
  <c r="FF108" i="1"/>
  <c r="FE108" i="1" s="1"/>
  <c r="FE103" i="1"/>
  <c r="EZ108" i="1"/>
  <c r="EY108" i="1" s="1"/>
  <c r="EY103" i="1"/>
  <c r="DP55" i="1"/>
  <c r="DR55" i="1"/>
  <c r="DT55" i="1"/>
  <c r="DO55" i="1"/>
  <c r="EQ55" i="1"/>
  <c r="DZ55" i="1"/>
  <c r="EE55" i="1" l="1"/>
  <c r="EK55" i="1"/>
</calcChain>
</file>

<file path=xl/sharedStrings.xml><?xml version="1.0" encoding="utf-8"?>
<sst xmlns="http://schemas.openxmlformats.org/spreadsheetml/2006/main" count="2560" uniqueCount="792">
  <si>
    <t>Skrogmål</t>
  </si>
  <si>
    <t>Propell</t>
  </si>
  <si>
    <t>Skipper</t>
  </si>
  <si>
    <t>Skjules</t>
  </si>
  <si>
    <t>Dyp formel</t>
  </si>
  <si>
    <t>Faktor</t>
  </si>
  <si>
    <t>på/av</t>
  </si>
  <si>
    <t>Fot</t>
  </si>
  <si>
    <t>Gaffel/
Berm.</t>
  </si>
  <si>
    <t>Jager</t>
  </si>
  <si>
    <t>Toppseil</t>
  </si>
  <si>
    <t>LOA
m</t>
  </si>
  <si>
    <t>LWL 
m</t>
  </si>
  <si>
    <t>Brd.
Netto
m</t>
  </si>
  <si>
    <t>Dyp 
m</t>
  </si>
  <si>
    <t>Kjøl tonn</t>
  </si>
  <si>
    <t>Ball. tonn</t>
  </si>
  <si>
    <t>Propell
type</t>
  </si>
  <si>
    <t>Mobil</t>
  </si>
  <si>
    <t>Epost</t>
  </si>
  <si>
    <t>Dyp faktor</t>
  </si>
  <si>
    <t>LYS
JJN
2011</t>
  </si>
  <si>
    <t>Gaffel</t>
  </si>
  <si>
    <t>C</t>
  </si>
  <si>
    <t>Seilrett</t>
  </si>
  <si>
    <t>RS 30 Risør II</t>
  </si>
  <si>
    <t>TBF</t>
  </si>
  <si>
    <t>S+F+M+K+T</t>
  </si>
  <si>
    <t>S+F+M+K</t>
  </si>
  <si>
    <t>RS 1 Colin Archer</t>
  </si>
  <si>
    <t>B</t>
  </si>
  <si>
    <t>S+F+K+T</t>
  </si>
  <si>
    <t>S+F+K</t>
  </si>
  <si>
    <t>S+F+k</t>
  </si>
  <si>
    <t>Kathleen II</t>
  </si>
  <si>
    <t>A</t>
  </si>
  <si>
    <t>S+F</t>
  </si>
  <si>
    <t>S1+F+k</t>
  </si>
  <si>
    <t>S1+F</t>
  </si>
  <si>
    <t>S2+F</t>
  </si>
  <si>
    <t>Pinta</t>
  </si>
  <si>
    <t>Bermuda</t>
  </si>
  <si>
    <t>Fast</t>
  </si>
  <si>
    <t>Nils Mathiesen</t>
  </si>
  <si>
    <t>ningeman@online.no</t>
  </si>
  <si>
    <t>Lavinia</t>
  </si>
  <si>
    <t>Jens Moestue</t>
  </si>
  <si>
    <t>jemoes@online.no</t>
  </si>
  <si>
    <t>S+G+F+M</t>
  </si>
  <si>
    <t>S+G+M</t>
  </si>
  <si>
    <t>Norion</t>
  </si>
  <si>
    <t>Harald Sundbye</t>
  </si>
  <si>
    <t>storesk@online.no</t>
  </si>
  <si>
    <t>Mohawk II</t>
  </si>
  <si>
    <t>Eileen II</t>
  </si>
  <si>
    <t>Else</t>
  </si>
  <si>
    <t>Karuna</t>
  </si>
  <si>
    <t>Marieto</t>
  </si>
  <si>
    <t>Marita</t>
  </si>
  <si>
    <t>RS 5 Liv</t>
  </si>
  <si>
    <t>Terje Smith</t>
  </si>
  <si>
    <t>Venus</t>
  </si>
  <si>
    <t>SSCA Klasse</t>
  </si>
  <si>
    <t>Erling Augland</t>
  </si>
  <si>
    <t>erling.augland@larvik.kommune.no</t>
  </si>
  <si>
    <t>Jomfruen</t>
  </si>
  <si>
    <t>Knut Nordstaa</t>
  </si>
  <si>
    <t>S+F+K+M</t>
  </si>
  <si>
    <t>S+F+K+T+M</t>
  </si>
  <si>
    <t>Karen Sophie II</t>
  </si>
  <si>
    <t>RAAK</t>
  </si>
  <si>
    <t>S+G</t>
  </si>
  <si>
    <t>S+g</t>
  </si>
  <si>
    <t>Havfrua</t>
  </si>
  <si>
    <t>Trygve Aanjesen</t>
  </si>
  <si>
    <t>taanjese@start.no</t>
  </si>
  <si>
    <t>Vanadis</t>
  </si>
  <si>
    <t>Forseil</t>
  </si>
  <si>
    <t>Knut Sørensen</t>
  </si>
  <si>
    <t>LØPEREN</t>
  </si>
  <si>
    <t>SA % Lwl</t>
  </si>
  <si>
    <t>Ballast</t>
  </si>
  <si>
    <t>Strikk</t>
  </si>
  <si>
    <t>CARMEN IV</t>
  </si>
  <si>
    <t>Stein Victor Svendsen</t>
  </si>
  <si>
    <t>FILIBUSTER</t>
  </si>
  <si>
    <t>Folkebåt LYS=0,97</t>
  </si>
  <si>
    <t>FLICA II</t>
  </si>
  <si>
    <t>ANAHITA</t>
  </si>
  <si>
    <t>LARK</t>
  </si>
  <si>
    <t>Charlie</t>
  </si>
  <si>
    <t>LS Frithjof II</t>
  </si>
  <si>
    <t>RS kopi FAYANCE</t>
  </si>
  <si>
    <t>SA/depl</t>
  </si>
  <si>
    <t>Lwl</t>
  </si>
  <si>
    <t>Loa+Lwl
/b</t>
  </si>
  <si>
    <t>Formel verdi</t>
  </si>
  <si>
    <t>TBF +</t>
  </si>
  <si>
    <t>M/m &gt;</t>
  </si>
  <si>
    <t>min &gt;</t>
  </si>
  <si>
    <t>Maks &gt;</t>
  </si>
  <si>
    <t>SA/
depl</t>
  </si>
  <si>
    <t>Loa/b</t>
  </si>
  <si>
    <t>SA/
Lwl</t>
  </si>
  <si>
    <t>TBF 
2023 -2022</t>
  </si>
  <si>
    <t>Loa/
Depl</t>
  </si>
  <si>
    <t>Formel verdi
x</t>
  </si>
  <si>
    <t>Formel verdi
+</t>
  </si>
  <si>
    <t>TBF 
+</t>
  </si>
  <si>
    <t>TBF
x</t>
  </si>
  <si>
    <t>Gaffel.</t>
  </si>
  <si>
    <t>-</t>
  </si>
  <si>
    <t>Dyp/Loa</t>
  </si>
  <si>
    <t>1: På/av &amp; % &gt;</t>
  </si>
  <si>
    <t>2: Potens &gt;</t>
  </si>
  <si>
    <t>3: Brd % &amp; på/av &gt;</t>
  </si>
  <si>
    <t>4: Lwl pluss &gt;</t>
  </si>
  <si>
    <t>5: &gt;</t>
  </si>
  <si>
    <t>S+K+M</t>
  </si>
  <si>
    <t>S+F+k2</t>
  </si>
  <si>
    <t>S+F+k3</t>
  </si>
  <si>
    <t>NANNA, Tønsberg</t>
  </si>
  <si>
    <t>S1+F+K</t>
  </si>
  <si>
    <t>S1+F+k3</t>
  </si>
  <si>
    <t>S1+F+k2</t>
  </si>
  <si>
    <t>S+F+k2+T</t>
  </si>
  <si>
    <t>Z =</t>
  </si>
  <si>
    <t>2022
0,90
y-0,5</t>
  </si>
  <si>
    <t>2022
y-0,5</t>
  </si>
  <si>
    <t>S+F+M+K+T+TM</t>
  </si>
  <si>
    <t>Z-5,00
Y+2,00</t>
  </si>
  <si>
    <t>SSCA
Y+2,00</t>
  </si>
  <si>
    <t>S+F+k2 - TBF 2022</t>
  </si>
  <si>
    <t>SSCA VET</t>
  </si>
  <si>
    <t>TBF 22</t>
  </si>
  <si>
    <t>Lengde faktor</t>
  </si>
  <si>
    <t>Erfarings-Faktor</t>
  </si>
  <si>
    <t>Jeppe Jul Nielsen</t>
  </si>
  <si>
    <t>Mobil: 9077 8929</t>
  </si>
  <si>
    <t>Dyp/Lwl SSCA</t>
  </si>
  <si>
    <t>Storseil rev formel &gt;</t>
  </si>
  <si>
    <t>Standardbåt - RS1
original tegning</t>
  </si>
  <si>
    <t>Seilarealer modifisert</t>
  </si>
  <si>
    <t>TBF av-rundet</t>
  </si>
  <si>
    <t>SA
Depl faktor</t>
  </si>
  <si>
    <t>x</t>
  </si>
  <si>
    <t>TBF hoved-formel</t>
  </si>
  <si>
    <t>Bredde faktor</t>
  </si>
  <si>
    <t>S+K</t>
  </si>
  <si>
    <t>S1+F+K+M</t>
  </si>
  <si>
    <t>JJN 2011
/TBF 2023</t>
  </si>
  <si>
    <t>Kathleen</t>
  </si>
  <si>
    <t>NANNA</t>
  </si>
  <si>
    <t>Ny båt bermuda</t>
  </si>
  <si>
    <t>S+F+K+M+T</t>
  </si>
  <si>
    <t>S+F+K+M+T+Tm</t>
  </si>
  <si>
    <t>S+F+K+M+T+Tm+J</t>
  </si>
  <si>
    <t>Genoa med Fokk</t>
  </si>
  <si>
    <t>Genoa Uten fokk</t>
  </si>
  <si>
    <t>Genoa uten fokk</t>
  </si>
  <si>
    <t>Ny båt gaffel, kopier</t>
  </si>
  <si>
    <t>S+F+M+k2</t>
  </si>
  <si>
    <t>Depl.
Lengde
vs.
RS1</t>
  </si>
  <si>
    <t>Netto vekt
vs.
RS1</t>
  </si>
  <si>
    <t>Depl.
L&amp;B
vs.
RS1</t>
  </si>
  <si>
    <t>Bredde
vs.
RS1</t>
  </si>
  <si>
    <t>Dypg
vs.
RS1</t>
  </si>
  <si>
    <t>Skaleringsfaktor &gt;</t>
  </si>
  <si>
    <t>LS Frithjof 1</t>
  </si>
  <si>
    <t>Poeng
faktor</t>
  </si>
  <si>
    <t>. Jager</t>
  </si>
  <si>
    <t>. Storklyver - Genoa</t>
  </si>
  <si>
    <t>. Klyver standard</t>
  </si>
  <si>
    <t>. Mellom Klyver</t>
  </si>
  <si>
    <t>. Stormklyver</t>
  </si>
  <si>
    <t>. Fokk</t>
  </si>
  <si>
    <t>. Stor 1 rev</t>
  </si>
  <si>
    <t>. Stor 2 rev</t>
  </si>
  <si>
    <t>. Toppseil</t>
  </si>
  <si>
    <t>. Lite topp seil</t>
  </si>
  <si>
    <t>. Mesan topp</t>
  </si>
  <si>
    <t>. Bermuda - stor</t>
  </si>
  <si>
    <t>. Bm 1 rev</t>
  </si>
  <si>
    <t>. Bm Mesan &amp; Sk.</t>
  </si>
  <si>
    <t>. Klyver std</t>
  </si>
  <si>
    <t>. Liten Klyver</t>
  </si>
  <si>
    <t>. Storseil</t>
  </si>
  <si>
    <t>. Mesan &amp; Sk</t>
  </si>
  <si>
    <t>. Bm Mesan &amp; Sk</t>
  </si>
  <si>
    <t>. SA beregnet</t>
  </si>
  <si>
    <t>. Seilareal</t>
  </si>
  <si>
    <t>Brd.
vs
L.</t>
  </si>
  <si>
    <t>Kjøl &amp; Ball. 
%</t>
  </si>
  <si>
    <t>Propell faktor</t>
  </si>
  <si>
    <t>Depl</t>
  </si>
  <si>
    <t>. SA/Depl. vs. RS1</t>
  </si>
  <si>
    <t>. SA/Lwl vs. RS1</t>
  </si>
  <si>
    <t>SA vs</t>
  </si>
  <si>
    <t>IF LYS=1,02</t>
  </si>
  <si>
    <t>IF folkebåt</t>
  </si>
  <si>
    <t>GAFFEL store båter</t>
  </si>
  <si>
    <t>SA/
Depl. vs. RS1</t>
  </si>
  <si>
    <t>SA/ Lwl 
vs. 
RS1</t>
  </si>
  <si>
    <t xml:space="preserve">                                                                            </t>
  </si>
  <si>
    <t>Med 2 forseil trekkes 30% av minste</t>
  </si>
  <si>
    <t>Storseil høyde faktor</t>
  </si>
  <si>
    <t>. Storseilets høyde</t>
  </si>
  <si>
    <t>Bojar</t>
  </si>
  <si>
    <t>Glæden</t>
  </si>
  <si>
    <t>Sei-areal faktor</t>
  </si>
  <si>
    <t>. Mesan &amp; Skon. G.fokk</t>
  </si>
  <si>
    <t>RS 10 Chistiania</t>
  </si>
  <si>
    <t>olekri49@xxx</t>
  </si>
  <si>
    <t>. Rigghøyde-faktor</t>
  </si>
  <si>
    <t>Med 2 forseil trekkes av minste =</t>
  </si>
  <si>
    <t>Mail: jeppejul02@gmail.com</t>
  </si>
  <si>
    <t>Skaleringsfaktor</t>
  </si>
  <si>
    <t>Trebåtfestivalens måltall- TBF</t>
  </si>
  <si>
    <t>Motor hk</t>
  </si>
  <si>
    <t>Motor vekt</t>
  </si>
  <si>
    <t>Vekt annet</t>
  </si>
  <si>
    <t>Motor.</t>
  </si>
  <si>
    <t>RS 14 Stavanger</t>
  </si>
  <si>
    <t>Antall blader</t>
  </si>
  <si>
    <t>Dia 
cm</t>
  </si>
  <si>
    <t>Los Flekkerøy</t>
  </si>
  <si>
    <t>Los Færder</t>
  </si>
  <si>
    <t>Los West Wind</t>
  </si>
  <si>
    <t>GODBONDEN</t>
  </si>
  <si>
    <t>Los</t>
  </si>
  <si>
    <t>SKROGTYPE</t>
  </si>
  <si>
    <t>Langkjølt, ekstra</t>
  </si>
  <si>
    <t>Bruksbåt</t>
  </si>
  <si>
    <t>Spissgatter</t>
  </si>
  <si>
    <t>Meterbåt</t>
  </si>
  <si>
    <t>Finne, moderat</t>
  </si>
  <si>
    <t>Finne mod</t>
  </si>
  <si>
    <t>Lystb</t>
  </si>
  <si>
    <t>Cruiser</t>
  </si>
  <si>
    <t>Spiss</t>
  </si>
  <si>
    <t>Meter</t>
  </si>
  <si>
    <t>Finne</t>
  </si>
  <si>
    <t>Skjær</t>
  </si>
  <si>
    <t>Kortkjølt</t>
  </si>
  <si>
    <t>Kutter</t>
  </si>
  <si>
    <t>Senk</t>
  </si>
  <si>
    <t>Senkekjøl</t>
  </si>
  <si>
    <t>los</t>
  </si>
  <si>
    <t>Folk</t>
  </si>
  <si>
    <t>Folkebåt</t>
  </si>
  <si>
    <t>Skrog.</t>
  </si>
  <si>
    <t>. Lateralplan type</t>
  </si>
  <si>
    <t>. Skrogfaktor</t>
  </si>
  <si>
    <t>VEMA III</t>
  </si>
  <si>
    <t>MOSK II</t>
  </si>
  <si>
    <t>ERNA HELENA</t>
  </si>
  <si>
    <t>S+F org kvm</t>
  </si>
  <si>
    <t>Klassiske meterbåter - sortert etter vannlinje lengde</t>
  </si>
  <si>
    <t>FAIR PLAY, folkebåt</t>
  </si>
  <si>
    <t>S+F (festivalen 2022)</t>
  </si>
  <si>
    <t>s+f  (festivalen 2022)</t>
  </si>
  <si>
    <t>RS</t>
  </si>
  <si>
    <t>Ekstra langkjølet, kuttere o.l.</t>
  </si>
  <si>
    <t>Los/RS/bruksbåt</t>
  </si>
  <si>
    <t>Lystbåt som Cruiser/Marie</t>
  </si>
  <si>
    <t>Underskåret baug som spissgattere, folkebåt o.l.</t>
  </si>
  <si>
    <t>Meterbåter</t>
  </si>
  <si>
    <t>Finnekjøl, smal</t>
  </si>
  <si>
    <t>Delt laterplan, medium</t>
  </si>
  <si>
    <t>Kortere vannlinje, meterbåt</t>
  </si>
  <si>
    <t>Meget kortkjølt, skjærgårdskrysser o.l.</t>
  </si>
  <si>
    <t>tillegg</t>
  </si>
  <si>
    <t>faktor</t>
  </si>
  <si>
    <t>Rot i bredde</t>
  </si>
  <si>
    <t>Rot i lengde</t>
  </si>
  <si>
    <t>Rot i StH</t>
  </si>
  <si>
    <t>Avrunding</t>
  </si>
  <si>
    <t>forseil</t>
  </si>
  <si>
    <t>. Forseil trekk</t>
  </si>
  <si>
    <t>Gaffelseil</t>
  </si>
  <si>
    <t>Seilfaktorer &gt;</t>
  </si>
  <si>
    <t>Seilfaktorer</t>
  </si>
  <si>
    <t>På en del seil reduseres etter %-sats som ses på linjen under seiloverskriftene.</t>
  </si>
  <si>
    <t>En del seil reduseres etter %-sats som ses på linjen under seiloverskriftene.</t>
  </si>
  <si>
    <t>Moderne</t>
  </si>
  <si>
    <t>Seilreduksjonsfaktorer &gt;</t>
  </si>
  <si>
    <t>. SA- faktor sum</t>
  </si>
  <si>
    <t>. Storklyver- Genoa</t>
  </si>
  <si>
    <t>. Gaffel storseil</t>
  </si>
  <si>
    <t>Alu</t>
  </si>
  <si>
    <t>KLR rigg</t>
  </si>
  <si>
    <t>RS 28 Sandefjord</t>
  </si>
  <si>
    <t>Arkiv skøyter</t>
  </si>
  <si>
    <t>Vilde</t>
  </si>
  <si>
    <t>Meter- og turbåter festivalen 2023</t>
  </si>
  <si>
    <t>Anita</t>
  </si>
  <si>
    <t>Cintra</t>
  </si>
  <si>
    <t>Solgang IV</t>
  </si>
  <si>
    <t>Van Hout</t>
  </si>
  <si>
    <t>Victoria</t>
  </si>
  <si>
    <t>. Mast aluminium</t>
  </si>
  <si>
    <t>. Alumast tillegg %</t>
  </si>
  <si>
    <t>Finnekjøl, medium</t>
  </si>
  <si>
    <t>Risør Trebåtfestival 2023</t>
  </si>
  <si>
    <t xml:space="preserve">Risør Classic Regatta </t>
  </si>
  <si>
    <t>PÅMELDINGSSKJEMA</t>
  </si>
  <si>
    <r>
      <t>Båtens navn</t>
    </r>
    <r>
      <rPr>
        <sz val="12"/>
        <color theme="1"/>
        <rFont val="Times New Roman"/>
        <family val="1"/>
      </rPr>
      <t xml:space="preserve"> </t>
    </r>
  </si>
  <si>
    <t xml:space="preserve">Seilnummer </t>
  </si>
  <si>
    <t xml:space="preserve">Båttype / Klasse/ Skrogtype </t>
  </si>
  <si>
    <r>
      <t>Riggtype (</t>
    </r>
    <r>
      <rPr>
        <sz val="12"/>
        <color theme="1"/>
        <rFont val="Times New Roman"/>
        <family val="1"/>
      </rPr>
      <t xml:space="preserve">Gaffel, Bermuda, …) </t>
    </r>
  </si>
  <si>
    <t xml:space="preserve">Skrogfarge </t>
  </si>
  <si>
    <r>
      <t>Seilfarge</t>
    </r>
    <r>
      <rPr>
        <sz val="12"/>
        <color theme="1"/>
        <rFont val="Times New Roman"/>
        <family val="1"/>
      </rPr>
      <t xml:space="preserve"> </t>
    </r>
  </si>
  <si>
    <r>
      <t>Skipper</t>
    </r>
    <r>
      <rPr>
        <sz val="12"/>
        <color theme="1"/>
        <rFont val="Times New Roman"/>
        <family val="1"/>
      </rPr>
      <t xml:space="preserve"> </t>
    </r>
  </si>
  <si>
    <t xml:space="preserve">Postadresse </t>
  </si>
  <si>
    <r>
      <t xml:space="preserve">Postnummer </t>
    </r>
    <r>
      <rPr>
        <u/>
        <sz val="12"/>
        <color theme="1"/>
        <rFont val="Times New Roman"/>
        <family val="1"/>
      </rPr>
      <t xml:space="preserve">                  </t>
    </r>
    <r>
      <rPr>
        <sz val="12"/>
        <color theme="1"/>
        <rFont val="Times New Roman"/>
        <family val="1"/>
      </rPr>
      <t xml:space="preserve"> Sted </t>
    </r>
    <r>
      <rPr>
        <u/>
        <sz val="12"/>
        <color theme="1"/>
        <rFont val="Times New Roman"/>
        <family val="1"/>
      </rPr>
      <t xml:space="preserve"> </t>
    </r>
  </si>
  <si>
    <r>
      <t xml:space="preserve">Land </t>
    </r>
    <r>
      <rPr>
        <u/>
        <sz val="12"/>
        <color theme="1"/>
        <rFont val="Times New Roman"/>
        <family val="1"/>
      </rPr>
      <t xml:space="preserve">                                       </t>
    </r>
    <r>
      <rPr>
        <sz val="12"/>
        <color theme="1"/>
        <rFont val="Times New Roman"/>
        <family val="1"/>
      </rPr>
      <t xml:space="preserve"> Mobil </t>
    </r>
  </si>
  <si>
    <r>
      <t xml:space="preserve">E-post </t>
    </r>
    <r>
      <rPr>
        <u/>
        <sz val="12"/>
        <color theme="1"/>
        <rFont val="Times New Roman"/>
        <family val="1"/>
      </rPr>
      <t xml:space="preserve"> </t>
    </r>
  </si>
  <si>
    <t xml:space="preserve">Seilforening </t>
  </si>
  <si>
    <r>
      <t>Båtens eier</t>
    </r>
    <r>
      <rPr>
        <sz val="12"/>
        <color theme="1"/>
        <rFont val="Times New Roman"/>
        <family val="1"/>
      </rPr>
      <t xml:space="preserve"> </t>
    </r>
  </si>
  <si>
    <r>
      <t xml:space="preserve">Postnummer </t>
    </r>
    <r>
      <rPr>
        <u/>
        <sz val="12"/>
        <color theme="1"/>
        <rFont val="Times New Roman"/>
        <family val="1"/>
      </rPr>
      <t xml:space="preserve">                </t>
    </r>
    <r>
      <rPr>
        <sz val="12"/>
        <color theme="1"/>
        <rFont val="Times New Roman"/>
        <family val="1"/>
      </rPr>
      <t xml:space="preserve"> Sted </t>
    </r>
  </si>
  <si>
    <r>
      <t xml:space="preserve">Land </t>
    </r>
    <r>
      <rPr>
        <u/>
        <sz val="12"/>
        <color theme="1"/>
        <rFont val="Times New Roman"/>
        <family val="1"/>
      </rPr>
      <t xml:space="preserve">                                    </t>
    </r>
    <r>
      <rPr>
        <sz val="12"/>
        <color theme="1"/>
        <rFont val="Times New Roman"/>
        <family val="1"/>
      </rPr>
      <t xml:space="preserve"> Tlf. </t>
    </r>
  </si>
  <si>
    <t>Båtdata</t>
  </si>
  <si>
    <t>Hvis data, mål og seil</t>
  </si>
  <si>
    <t xml:space="preserve">vi allerede har på www.jul-nielsen.no/TBF.html, er korrekte, bekreft OK her: </t>
  </si>
  <si>
    <t xml:space="preserve">Konstruktør </t>
  </si>
  <si>
    <t xml:space="preserve">Båtbyggeri </t>
  </si>
  <si>
    <t xml:space="preserve">Byggeår </t>
  </si>
  <si>
    <r>
      <t>Lateralplan</t>
    </r>
    <r>
      <rPr>
        <sz val="12"/>
        <color theme="1"/>
        <rFont val="Times New Roman"/>
        <family val="1"/>
      </rPr>
      <t xml:space="preserve">; </t>
    </r>
  </si>
  <si>
    <t>Los/redningsskøyte - Lystbåt (Marie/Cruiser) – Kutter langkjølet – Spissgatter etter 1913 - Meterbåt - Plattgatter - Folkebåt - Skjærgårdskrysser kortkjølt - Finnekjøl m. separat ror – Senkekjøl. (Hvis usikker på kategori, legg ved bilde på land, ev. tegning, eller ta kontakt)</t>
  </si>
  <si>
    <r>
      <t>Båtens vitale mål</t>
    </r>
    <r>
      <rPr>
        <sz val="12"/>
        <color theme="1"/>
        <rFont val="Times New Roman"/>
        <family val="1"/>
      </rPr>
      <t xml:space="preserve"> (i meter)</t>
    </r>
  </si>
  <si>
    <r>
      <t>Lengde (</t>
    </r>
    <r>
      <rPr>
        <sz val="12"/>
        <color theme="1"/>
        <rFont val="Times New Roman"/>
        <family val="1"/>
      </rPr>
      <t xml:space="preserve">over dekk utv stevner): </t>
    </r>
  </si>
  <si>
    <r>
      <t>Lengde i vannlinjen;</t>
    </r>
    <r>
      <rPr>
        <sz val="12"/>
        <color theme="1"/>
        <rFont val="Times New Roman"/>
        <family val="1"/>
      </rPr>
      <t xml:space="preserve"> (uten ror) </t>
    </r>
  </si>
  <si>
    <r>
      <t>Bredde (</t>
    </r>
    <r>
      <rPr>
        <sz val="12"/>
        <color theme="1"/>
        <rFont val="Times New Roman"/>
        <family val="1"/>
      </rPr>
      <t xml:space="preserve">målt på hud under øverste bordgang) </t>
    </r>
  </si>
  <si>
    <r>
      <t>Dypgående (</t>
    </r>
    <r>
      <rPr>
        <sz val="12"/>
        <color theme="1"/>
        <rFont val="Times New Roman"/>
        <family val="1"/>
      </rPr>
      <t xml:space="preserve">Største dypgående) </t>
    </r>
  </si>
  <si>
    <r>
      <t xml:space="preserve">Vekt/deplasement </t>
    </r>
    <r>
      <rPr>
        <b/>
        <i/>
        <u/>
        <sz val="12"/>
        <color theme="1"/>
        <rFont val="Times New Roman"/>
        <family val="1"/>
      </rPr>
      <t>med tomme tanker</t>
    </r>
    <r>
      <rPr>
        <b/>
        <sz val="12"/>
        <color theme="1"/>
        <rFont val="Times New Roman"/>
        <family val="1"/>
      </rPr>
      <t>;</t>
    </r>
    <r>
      <rPr>
        <sz val="12"/>
        <color theme="1"/>
        <rFont val="Times New Roman"/>
        <family val="1"/>
      </rPr>
      <t xml:space="preserve"> (vet du ikke vekten, ta kontakt) </t>
    </r>
  </si>
  <si>
    <t xml:space="preserve">*Utvendig kjølvekt </t>
  </si>
  <si>
    <t xml:space="preserve">*Ballast vekt </t>
  </si>
  <si>
    <r>
      <t>*Motor vekt (</t>
    </r>
    <r>
      <rPr>
        <sz val="12"/>
        <color theme="1"/>
        <rFont val="Times New Roman"/>
        <family val="1"/>
      </rPr>
      <t xml:space="preserve">med propellanlegg, ca.) </t>
    </r>
  </si>
  <si>
    <t xml:space="preserve">*Andre vekter utenom vanlig </t>
  </si>
  <si>
    <t>… * Disse inngår ikke i formelen, men brukes for kontroll av deplasementet.</t>
  </si>
  <si>
    <r>
      <t>Seil</t>
    </r>
    <r>
      <rPr>
        <sz val="12"/>
        <color theme="1"/>
        <rFont val="Times New Roman"/>
        <family val="1"/>
      </rPr>
      <t xml:space="preserve"> (areal i kvm)</t>
    </r>
  </si>
  <si>
    <r>
      <t>Seilduk; (</t>
    </r>
    <r>
      <rPr>
        <sz val="12"/>
        <color theme="1"/>
        <rFont val="Times New Roman"/>
        <family val="1"/>
      </rPr>
      <t xml:space="preserve">Dacron – Classic – Clipper – Duradon - Bomull) </t>
    </r>
  </si>
  <si>
    <t xml:space="preserve"> </t>
  </si>
  <si>
    <t xml:space="preserve">Mesan </t>
  </si>
  <si>
    <t xml:space="preserve">Mesan Toppseil </t>
  </si>
  <si>
    <t xml:space="preserve">Storseil </t>
  </si>
  <si>
    <t xml:space="preserve">.. *Storseil med 1 rev </t>
  </si>
  <si>
    <t xml:space="preserve">.. *Storseil med 2 rev </t>
  </si>
  <si>
    <t>…. * Rev noteres bare for de som mener det kan bli aktuelt for dem.</t>
  </si>
  <si>
    <t xml:space="preserve">Storseilets høyde </t>
  </si>
  <si>
    <t xml:space="preserve">…. Loddrett mål fra piggbarm til hals. (Legg inn mål på seilene i regnearket du finner på hjemmesiden www.jul-nielsen.no/TBF.html og høyden regnes ut automatisk). </t>
  </si>
  <si>
    <t>….. På bermudarigg; mastelikets lengde.</t>
  </si>
  <si>
    <t xml:space="preserve">Toppseil </t>
  </si>
  <si>
    <t xml:space="preserve">Fokk </t>
  </si>
  <si>
    <t xml:space="preserve">Klyver </t>
  </si>
  <si>
    <t xml:space="preserve">Genoa/storklyver </t>
  </si>
  <si>
    <t xml:space="preserve">Mellomklyver </t>
  </si>
  <si>
    <t xml:space="preserve">Stormklyver </t>
  </si>
  <si>
    <t xml:space="preserve">Jager/flying jib </t>
  </si>
  <si>
    <t xml:space="preserve">Andre seil  </t>
  </si>
  <si>
    <r>
      <t xml:space="preserve">… Spinnaker, gennaker og lignende seil i lett duk, </t>
    </r>
    <r>
      <rPr>
        <b/>
        <u/>
        <sz val="12"/>
        <color theme="1"/>
        <rFont val="Times New Roman"/>
        <family val="1"/>
      </rPr>
      <t>er ikke tillatt</t>
    </r>
    <r>
      <rPr>
        <sz val="12"/>
        <color theme="1"/>
        <rFont val="Times New Roman"/>
        <family val="1"/>
      </rPr>
      <t>.</t>
    </r>
  </si>
  <si>
    <t xml:space="preserve">Motor HK </t>
  </si>
  <si>
    <r>
      <t>Propell diameter</t>
    </r>
    <r>
      <rPr>
        <sz val="12"/>
        <color theme="1"/>
        <rFont val="Times New Roman"/>
        <family val="1"/>
      </rPr>
      <t xml:space="preserve"> </t>
    </r>
  </si>
  <si>
    <r>
      <t>Propell type:</t>
    </r>
    <r>
      <rPr>
        <sz val="12"/>
        <color theme="1"/>
        <rFont val="Times New Roman"/>
        <family val="1"/>
      </rPr>
      <t xml:space="preserve"> (Fast/seilrett/folde &amp; antall blad) </t>
    </r>
  </si>
  <si>
    <r>
      <t>Spørsmål</t>
    </r>
    <r>
      <rPr>
        <b/>
        <sz val="12"/>
        <color theme="1"/>
        <rFont val="Times New Roman"/>
        <family val="1"/>
      </rPr>
      <t xml:space="preserve"> rettes til Jeppe Jul Nielsen 9077 8929.</t>
    </r>
  </si>
  <si>
    <t>TBF - MÅLTALL:</t>
  </si>
  <si>
    <t xml:space="preserve">Trebåtfestivalen bruker eget måltall - TBF. </t>
  </si>
  <si>
    <t xml:space="preserve">Dette er en enkel formel på linje med SSCAs VET og KTKs KLR, men med enkelte forbedringer i formel og regneark, bl.a. er ikke dypgående med i formelen. </t>
  </si>
  <si>
    <t>Regnearket er tilgjengelig på nettet og kan lastes ned.</t>
  </si>
  <si>
    <t>www.jul-nielsen.no/TBF.html</t>
  </si>
  <si>
    <t xml:space="preserve">og </t>
  </si>
  <si>
    <t>www.trebatfestivalen.no/seilregatta/</t>
  </si>
  <si>
    <t>Seil brukt i regattaen:</t>
  </si>
  <si>
    <r>
      <t xml:space="preserve">Trebåtfestivalen bruker </t>
    </r>
    <r>
      <rPr>
        <b/>
        <sz val="12"/>
        <color theme="1"/>
        <rFont val="Times New Roman"/>
        <family val="1"/>
      </rPr>
      <t>anvendt seilareal</t>
    </r>
    <r>
      <rPr>
        <sz val="12"/>
        <color theme="1"/>
        <rFont val="Times New Roman"/>
        <family val="1"/>
      </rPr>
      <t xml:space="preserve"> under seilasen. </t>
    </r>
  </si>
  <si>
    <r>
      <t xml:space="preserve">Hvis man ikke har seilt med maksimal seilføring, meldes dette på sms under seilasen eller </t>
    </r>
    <r>
      <rPr>
        <b/>
        <sz val="12"/>
        <color theme="1"/>
        <rFont val="Times New Roman"/>
        <family val="1"/>
      </rPr>
      <t>straks etter målpassering</t>
    </r>
    <r>
      <rPr>
        <sz val="12"/>
        <color theme="1"/>
        <rFont val="Times New Roman"/>
        <family val="1"/>
      </rPr>
      <t>, til 9077 8929, Jeppe Jul Nielsen.</t>
    </r>
  </si>
  <si>
    <t>Startkontingent</t>
  </si>
  <si>
    <t>Det er ingen startkontingent.</t>
  </si>
  <si>
    <t>Trebåtfestivalen betaler Risør Seilforening for oppdraget.</t>
  </si>
  <si>
    <t>Ansvar</t>
  </si>
  <si>
    <r>
      <t xml:space="preserve">Alle deltakende båter kappseiler </t>
    </r>
    <r>
      <rPr>
        <u/>
        <sz val="12"/>
        <color theme="1"/>
        <rFont val="Times New Roman"/>
        <family val="1"/>
      </rPr>
      <t>på eget ansvar og egen risiko</t>
    </r>
    <r>
      <rPr>
        <sz val="12"/>
        <color theme="1"/>
        <rFont val="Times New Roman"/>
        <family val="1"/>
      </rPr>
      <t>, og må selv avgjøre om båt og mannskap er utrustet til å starte og fullføre.</t>
    </r>
  </si>
  <si>
    <t>Ansvarsforsikring er obligatorisk</t>
  </si>
  <si>
    <r>
      <t xml:space="preserve">Alle deltakende båter </t>
    </r>
    <r>
      <rPr>
        <u/>
        <sz val="12"/>
        <color theme="1"/>
        <rFont val="Times New Roman"/>
        <family val="1"/>
      </rPr>
      <t>plikter å ha ansvarsforsikring</t>
    </r>
    <r>
      <rPr>
        <sz val="12"/>
        <color theme="1"/>
        <rFont val="Times New Roman"/>
        <family val="1"/>
      </rPr>
      <t xml:space="preserve"> som dekker eventuelle skader som påføres andre båter eller deres mannskap under kappseilasen.</t>
    </r>
  </si>
  <si>
    <t>Jeg bekrefter med dette at den påmeldte båten har gyldig forsikring i henhold til det ovenstående.</t>
  </si>
  <si>
    <t>Dato: _____________ Sign.:</t>
  </si>
  <si>
    <t>Seilnr :</t>
  </si>
  <si>
    <t>Mobil :</t>
  </si>
  <si>
    <t>Email :</t>
  </si>
  <si>
    <t>på måltallet</t>
  </si>
  <si>
    <t>Riggtype</t>
  </si>
  <si>
    <t>:</t>
  </si>
  <si>
    <t>Byggemetode</t>
  </si>
  <si>
    <t>Skrog ;</t>
  </si>
  <si>
    <t>Dekk ;</t>
  </si>
  <si>
    <t>Båtbyggeri</t>
  </si>
  <si>
    <t>Rigg  ;</t>
  </si>
  <si>
    <t>Konstruktør</t>
  </si>
  <si>
    <t>Design</t>
  </si>
  <si>
    <t>Motor  :</t>
  </si>
  <si>
    <t>hk</t>
  </si>
  <si>
    <t>&amp;</t>
  </si>
  <si>
    <t>kg</t>
  </si>
  <si>
    <t>Byggeår</t>
  </si>
  <si>
    <t>Propell  :</t>
  </si>
  <si>
    <t>cm</t>
  </si>
  <si>
    <t>"</t>
  </si>
  <si>
    <t>Skrogfarge</t>
  </si>
  <si>
    <t>Propellfaktor =</t>
  </si>
  <si>
    <t>Seilfarge</t>
  </si>
  <si>
    <t>Skrogfaktor/våt flate +/-  =</t>
  </si>
  <si>
    <t>Lengde over dekk utv stevn</t>
  </si>
  <si>
    <t>m</t>
  </si>
  <si>
    <t>Lengde i vannlinjen utv stevn</t>
  </si>
  <si>
    <t>(Lwl =</t>
  </si>
  <si>
    <t>av Loa. RS1 = 90%)</t>
  </si>
  <si>
    <t>Bredde</t>
  </si>
  <si>
    <t>(Bredde =</t>
  </si>
  <si>
    <t>av Loa. RS1 = 33%  =</t>
  </si>
  <si>
    <t>(Dypg=</t>
  </si>
  <si>
    <t>av Lwl. RS1=18%   =</t>
  </si>
  <si>
    <t>tonn</t>
  </si>
  <si>
    <t>(Kjøl+Ballast er</t>
  </si>
  <si>
    <t>av depl.  RS 1 = 36 % =</t>
  </si>
  <si>
    <t>tonn)</t>
  </si>
  <si>
    <t>[BKP=</t>
  </si>
  <si>
    <t>(0,94-1,00)]</t>
  </si>
  <si>
    <t>Deplasement</t>
  </si>
  <si>
    <t>Depl./Lengde- faktor</t>
  </si>
  <si>
    <t>%</t>
  </si>
  <si>
    <t>(RS 1=100%)</t>
  </si>
  <si>
    <t>Depl./Bredde- faktor</t>
  </si>
  <si>
    <t xml:space="preserve">     "</t>
  </si>
  <si>
    <t>Materialdimensjons-faktor</t>
  </si>
  <si>
    <t>Depl./Lengde/bredde- faktor</t>
  </si>
  <si>
    <t>m2</t>
  </si>
  <si>
    <t>Fokk</t>
  </si>
  <si>
    <t>Klyver</t>
  </si>
  <si>
    <t>Største seilføring</t>
  </si>
  <si>
    <t>Storseilets høyde</t>
  </si>
  <si>
    <t>Seilareal-lengde forhold</t>
  </si>
  <si>
    <t>%   (RS1 =100%)</t>
  </si>
  <si>
    <t>Seilduk i hovedseilene</t>
  </si>
  <si>
    <t>Seilareal-vekt forhold</t>
  </si>
  <si>
    <t>Seilareal-bredde forhold</t>
  </si>
  <si>
    <t>Seilareal/L,D&amp;B</t>
  </si>
  <si>
    <t>Risør Classic Regatta 2023</t>
  </si>
  <si>
    <t>Thor Erik Gustavsen</t>
  </si>
  <si>
    <t>Seilnr:</t>
  </si>
  <si>
    <t>KLR formel</t>
  </si>
  <si>
    <t>Adresse</t>
  </si>
  <si>
    <t>teg@tegseil.no</t>
  </si>
  <si>
    <t>Signalveien 5</t>
  </si>
  <si>
    <t>Poststed</t>
  </si>
  <si>
    <t>Land</t>
  </si>
  <si>
    <t>Seilforening</t>
  </si>
  <si>
    <t>Tilja</t>
  </si>
  <si>
    <t>Norge</t>
  </si>
  <si>
    <t>3734 Skien</t>
  </si>
  <si>
    <t>Eier om ikke skipper</t>
  </si>
  <si>
    <t>Seilforening :</t>
  </si>
  <si>
    <t>91611982</t>
  </si>
  <si>
    <t>Seilfarge :</t>
  </si>
  <si>
    <t>Skrogfarge :</t>
  </si>
  <si>
    <t>Wulf Fiedler</t>
  </si>
  <si>
    <t>wulf.fiedler@yartberlin.de</t>
  </si>
  <si>
    <t>Tyskland</t>
  </si>
  <si>
    <t>S 546</t>
  </si>
  <si>
    <t>Båtbygger</t>
  </si>
  <si>
    <t>Kustkryssare</t>
  </si>
  <si>
    <t>Olle Enderlein</t>
  </si>
  <si>
    <t>Hyltegårds Båtbyggeri</t>
  </si>
  <si>
    <t>Hvite</t>
  </si>
  <si>
    <t>. Seilduk</t>
  </si>
  <si>
    <t>. Duk %</t>
  </si>
  <si>
    <t>12mR</t>
  </si>
  <si>
    <t>Dr. Berhard Frieling</t>
  </si>
  <si>
    <t>Bernard.Frieling@t-online.de</t>
  </si>
  <si>
    <t>Rasmussen</t>
  </si>
  <si>
    <t>Hvit</t>
  </si>
  <si>
    <t>Abeking &amp; Rasmussen</t>
  </si>
  <si>
    <t>SSCA
KTK
Båt</t>
  </si>
  <si>
    <t xml:space="preserve">SSCA -
KLR
/TBF </t>
  </si>
  <si>
    <t>RS 5</t>
  </si>
  <si>
    <t>Larvik 8</t>
  </si>
  <si>
    <t>RS 10</t>
  </si>
  <si>
    <t>RS 1</t>
  </si>
  <si>
    <t>RS 28</t>
  </si>
  <si>
    <t>RS 30</t>
  </si>
  <si>
    <t>ingen nr.</t>
  </si>
  <si>
    <t>F 35</t>
  </si>
  <si>
    <t>Einar Salvesen</t>
  </si>
  <si>
    <t>N 1531</t>
  </si>
  <si>
    <t>N 1690</t>
  </si>
  <si>
    <t>N 7749</t>
  </si>
  <si>
    <t>N 14219</t>
  </si>
  <si>
    <t>E 15</t>
  </si>
  <si>
    <t>K 61</t>
  </si>
  <si>
    <t>N 5066</t>
  </si>
  <si>
    <t>?</t>
  </si>
  <si>
    <t>NOR 3</t>
  </si>
  <si>
    <t>H 45</t>
  </si>
  <si>
    <t>F - G 21</t>
  </si>
  <si>
    <t>jeppejul02@gmail.com</t>
  </si>
  <si>
    <t>Tyriveien 4</t>
  </si>
  <si>
    <t>4956 Risør</t>
  </si>
  <si>
    <t>Risør SF</t>
  </si>
  <si>
    <t>Redningsskøyte kopi</t>
  </si>
  <si>
    <t>Redningsskøyte</t>
  </si>
  <si>
    <t>Lystbåt</t>
  </si>
  <si>
    <t>Colin Archer</t>
  </si>
  <si>
    <t>Risør Trebåtbyggeri</t>
  </si>
  <si>
    <t>Jepsen &amp; Olsen, Holmen, Risør</t>
  </si>
  <si>
    <t>Hvitmalt</t>
  </si>
  <si>
    <t>Kremhvite</t>
  </si>
  <si>
    <t>Kremhvit</t>
  </si>
  <si>
    <t>Skøyte</t>
  </si>
  <si>
    <t>Jens Gran</t>
  </si>
  <si>
    <t>Gimle Terrasse 4</t>
  </si>
  <si>
    <t>0264 Oslo</t>
  </si>
  <si>
    <t>KNS</t>
  </si>
  <si>
    <t>Havseiler</t>
  </si>
  <si>
    <t>Arvid &amp; Peter Laurin</t>
  </si>
  <si>
    <t>Lakkert Mahogny</t>
  </si>
  <si>
    <t>.-</t>
  </si>
  <si>
    <t>Timo Lantzsch</t>
  </si>
  <si>
    <t>.+4915117436128</t>
  </si>
  <si>
    <t>.+49 15751613819</t>
  </si>
  <si>
    <t>.+49 1715390152</t>
  </si>
  <si>
    <t>timoholzbootsbau@lantzsch.de</t>
  </si>
  <si>
    <t>Huholzweg 56</t>
  </si>
  <si>
    <t>24376 Koppeln</t>
  </si>
  <si>
    <t>FKY</t>
  </si>
  <si>
    <t>12 - G 2</t>
  </si>
  <si>
    <t>Båttype/klasse</t>
  </si>
  <si>
    <t>Nordisk Folkebåt</t>
  </si>
  <si>
    <t>Martin Nielsen</t>
  </si>
  <si>
    <t>Rød</t>
  </si>
  <si>
    <t>Tor Erling Gransæther</t>
  </si>
  <si>
    <t>91801577</t>
  </si>
  <si>
    <t>teg@eplegaarden.no</t>
  </si>
  <si>
    <t>Børsandveien 1</t>
  </si>
  <si>
    <t>3475 Sætre</t>
  </si>
  <si>
    <t>Tobias Revold</t>
  </si>
  <si>
    <t>92242500</t>
  </si>
  <si>
    <t>Finn Bjurvoll Hansen</t>
  </si>
  <si>
    <t>98840242</t>
  </si>
  <si>
    <t>post@finn-b.no</t>
  </si>
  <si>
    <t>Strandpromenaden 24</t>
  </si>
  <si>
    <t>3262 Larvik</t>
  </si>
  <si>
    <t>SSCA</t>
  </si>
  <si>
    <t>Lystbåt Cruiser</t>
  </si>
  <si>
    <t>Ellingsen, Østfold</t>
  </si>
  <si>
    <t>Yngve Ottesen</t>
  </si>
  <si>
    <t>91659356</t>
  </si>
  <si>
    <t>Tomterveien 94</t>
  </si>
  <si>
    <t>Lystbåt 12mR</t>
  </si>
  <si>
    <t>Bjarne Aas, Fredrikstad</t>
  </si>
  <si>
    <t>Trond Stensvold</t>
  </si>
  <si>
    <t>Kloppkjærveien 34</t>
  </si>
  <si>
    <t>3766 Sannidal</t>
  </si>
  <si>
    <t>90948079</t>
  </si>
  <si>
    <t>trond.stensvold@hotmail.com</t>
  </si>
  <si>
    <t>Kragrø kystlag, Sannidal Speidergruppe</t>
  </si>
  <si>
    <t>Tollkrysser</t>
  </si>
  <si>
    <t>Båtbyggerskolen i Jondal</t>
  </si>
  <si>
    <t>90543838</t>
  </si>
  <si>
    <t>knuts.mail@tele8.no</t>
  </si>
  <si>
    <t>PB 113</t>
  </si>
  <si>
    <t>3163 Borgheim</t>
  </si>
  <si>
    <t>Kragerø Kystlag</t>
  </si>
  <si>
    <t>Lista Treskipsbyggeri / Nordstaa</t>
  </si>
  <si>
    <t>Krem</t>
  </si>
  <si>
    <t>Lakkert furu</t>
  </si>
  <si>
    <t>Tvedestrand</t>
  </si>
  <si>
    <t>12 - K 12</t>
  </si>
  <si>
    <t>Jan Erik Haavi</t>
  </si>
  <si>
    <t>Levreveien 16</t>
  </si>
  <si>
    <t>1346 Gjettum</t>
  </si>
  <si>
    <t>91124325</t>
  </si>
  <si>
    <t>j.haavi@online.no</t>
  </si>
  <si>
    <t>steinvictorsvendsen@outlook.com</t>
  </si>
  <si>
    <t>Arne &amp; Mona Røseth</t>
  </si>
  <si>
    <t>F 2580</t>
  </si>
  <si>
    <t>99010936</t>
  </si>
  <si>
    <t>arnegur@online.no</t>
  </si>
  <si>
    <t>Kolleveien 11a</t>
  </si>
  <si>
    <t>1397 Nesøya</t>
  </si>
  <si>
    <t>Djupevåg Båtbyggeri, Nordheimsund</t>
  </si>
  <si>
    <t>Røde</t>
  </si>
  <si>
    <t>Ørnen</t>
  </si>
  <si>
    <t>Larvik</t>
  </si>
  <si>
    <t>Jørn Torfinn Rød</t>
  </si>
  <si>
    <t>Fiskeskøyte</t>
  </si>
  <si>
    <t>Ukjent i Hardanger</t>
  </si>
  <si>
    <t>Svart</t>
  </si>
  <si>
    <t>Emanuel Moen &amp; Søn, moen pr Risør</t>
  </si>
  <si>
    <t>Christian Jensen, Asker</t>
  </si>
  <si>
    <t>Brdr Lien, Trondheim</t>
  </si>
  <si>
    <t>Arkiv Bermuda skøyter og turbåter</t>
  </si>
  <si>
    <t>Dette dokument er utstedt den :</t>
  </si>
  <si>
    <t xml:space="preserve">For Risør Trebåtfestival : </t>
  </si>
  <si>
    <t>Turbåt</t>
  </si>
  <si>
    <t>Ex Navn</t>
  </si>
  <si>
    <t>Draug</t>
  </si>
  <si>
    <t>Caliope III</t>
  </si>
  <si>
    <t>Annemor</t>
  </si>
  <si>
    <t>Båttype/Klasse</t>
  </si>
  <si>
    <t>Seil</t>
  </si>
  <si>
    <t>Kvm</t>
  </si>
  <si>
    <t>Klyver mellom</t>
  </si>
  <si>
    <t>Klyver liten</t>
  </si>
  <si>
    <t>Storseil gaffel</t>
  </si>
  <si>
    <t>Halvdkker</t>
  </si>
  <si>
    <t>Bermuda m 1 rev</t>
  </si>
  <si>
    <t>Gaffel m 1 rev</t>
  </si>
  <si>
    <t>Gaffel m 2 rev</t>
  </si>
  <si>
    <t>Mesan gaffel</t>
  </si>
  <si>
    <t>Mesan Toppseil</t>
  </si>
  <si>
    <t>Lite Toppseil</t>
  </si>
  <si>
    <t>Storklyver/Genoa</t>
  </si>
  <si>
    <t>Jager/flying jib</t>
  </si>
  <si>
    <t>Skonnert gaffelfokk = Mesan</t>
  </si>
  <si>
    <t>Mobil 9077 8929</t>
  </si>
  <si>
    <t>Alle deltakende båter kappseiler på eget ansvar og egen risiko, og må selv avgjøre om båt og mannskap er utrustet til å starte og fullføre.</t>
  </si>
  <si>
    <t>Forsikring</t>
  </si>
  <si>
    <t xml:space="preserve">Alle deltakende båter plikter å ha ansvarsforsikring som dekker eventuelle skader som påføres andre båter eller deres mannskap under kappseilasen. </t>
  </si>
  <si>
    <t>Underskrift</t>
  </si>
  <si>
    <t>Propell dia</t>
  </si>
  <si>
    <t>Propell type</t>
  </si>
  <si>
    <t>Antall blad</t>
  </si>
  <si>
    <t>blader</t>
  </si>
  <si>
    <t>Delt</t>
  </si>
  <si>
    <t>Delt moderat</t>
  </si>
  <si>
    <t>95034537</t>
  </si>
  <si>
    <r>
      <t xml:space="preserve">Spørsmål </t>
    </r>
    <r>
      <rPr>
        <b/>
        <sz val="12"/>
        <color theme="1"/>
        <rFont val="Times New Roman"/>
        <family val="1"/>
      </rPr>
      <t>om utfylling av skjemaet rettes til Jeppe Jul Nielsen 9077 8929.</t>
    </r>
  </si>
  <si>
    <t>Risør den:</t>
  </si>
  <si>
    <r>
      <t xml:space="preserve">Trebåtfestivalen bruker </t>
    </r>
    <r>
      <rPr>
        <b/>
        <sz val="12"/>
        <color theme="1"/>
        <rFont val="Times New Roman"/>
        <family val="1"/>
      </rPr>
      <t>anvendt seilareal</t>
    </r>
    <r>
      <rPr>
        <sz val="12"/>
        <color theme="1"/>
        <rFont val="Times New Roman"/>
        <family val="1"/>
      </rPr>
      <t xml:space="preserve"> under seilasen. 
Hvis man ikke har seilt med maksimal seilføring, meldes dette på sms under seilasen 
eller </t>
    </r>
    <r>
      <rPr>
        <b/>
        <u/>
        <sz val="12"/>
        <color theme="1"/>
        <rFont val="Times New Roman"/>
        <family val="1"/>
      </rPr>
      <t>senest straks etter målpassering</t>
    </r>
    <r>
      <rPr>
        <sz val="12"/>
        <color theme="1"/>
        <rFont val="Times New Roman"/>
        <family val="1"/>
      </rPr>
      <t>, til 9077 8929, Jeppe Jul Nielsen.</t>
    </r>
  </si>
  <si>
    <t>Lystbåt Nanna</t>
  </si>
  <si>
    <t>Colin Archer / Lien</t>
  </si>
  <si>
    <t>Colin Archer / Jondal</t>
  </si>
  <si>
    <t>Colin Archer / Ellingsen</t>
  </si>
  <si>
    <t>Lakkert eik</t>
  </si>
  <si>
    <t>Lakkert Mahogani</t>
  </si>
  <si>
    <t>FAIR PLAY</t>
  </si>
  <si>
    <t>Frøya</t>
  </si>
  <si>
    <t>Lengde over dekk</t>
  </si>
  <si>
    <t>Colin Archer / Jeppe Jul Nielsen</t>
  </si>
  <si>
    <t>Colin Archer / K. Nordstaa</t>
  </si>
  <si>
    <t>Colin Archer / K. Djupevåg</t>
  </si>
  <si>
    <t>Skøyte Lystbåt</t>
  </si>
  <si>
    <t xml:space="preserve">Klassiske trebåter med KLR tall regatta fredag og lørdag. Kr 300,- </t>
  </si>
  <si>
    <t xml:space="preserve">Startkontingent betaltes til Vipps nr 701469. Skriv båtens navn og seilnr ved betaling.  </t>
  </si>
  <si>
    <r>
      <t>KLR tall</t>
    </r>
    <r>
      <rPr>
        <sz val="12"/>
        <color theme="1"/>
        <rFont val="Times New Roman"/>
        <family val="1"/>
      </rPr>
      <t xml:space="preserve"> oppgis her: </t>
    </r>
  </si>
  <si>
    <t>Skøyte og turbåt kun lørdag kr 200,- Konkurrerer med festivalens TBF tall.</t>
  </si>
  <si>
    <t>Nr</t>
  </si>
  <si>
    <t>Betalt</t>
  </si>
  <si>
    <t>Klasse</t>
  </si>
  <si>
    <t>Registerert</t>
  </si>
  <si>
    <t>*Vekt i kjølen</t>
  </si>
  <si>
    <t>*Innvendig ballast</t>
  </si>
  <si>
    <t>*Motor hk</t>
  </si>
  <si>
    <t>*Vekt motor m prop-utstyr</t>
  </si>
  <si>
    <t>*Andre vekter utenom vanlig</t>
  </si>
  <si>
    <t>Storseil Bermuda</t>
  </si>
  <si>
    <t>*Dypgående</t>
  </si>
  <si>
    <t>m*</t>
  </si>
  <si>
    <t>Hk*</t>
  </si>
  <si>
    <t>Kg*</t>
  </si>
  <si>
    <t>tonn*</t>
  </si>
  <si>
    <t>Kranveien 66</t>
  </si>
  <si>
    <t>Risør II Venner</t>
  </si>
  <si>
    <t>torf-ro@online.no</t>
  </si>
  <si>
    <t xml:space="preserve">Ex. navn: </t>
  </si>
  <si>
    <t>Sail no:</t>
  </si>
  <si>
    <t>mobile</t>
  </si>
  <si>
    <t>email</t>
  </si>
  <si>
    <t>Arddress</t>
  </si>
  <si>
    <t>Post no &amp; town</t>
  </si>
  <si>
    <t>Sail club</t>
  </si>
  <si>
    <t>Jeløen</t>
  </si>
  <si>
    <t>SPRI</t>
  </si>
  <si>
    <t>Gabriel Lund</t>
  </si>
  <si>
    <t>1516 Jeløy</t>
  </si>
  <si>
    <t>Halvdekker</t>
  </si>
  <si>
    <t>Wilhelm Schulz</t>
  </si>
  <si>
    <t>Genoa m/Fokk</t>
  </si>
  <si>
    <t>Mast materiale</t>
  </si>
  <si>
    <t>Lateralplan type</t>
  </si>
  <si>
    <t>911 46 767</t>
  </si>
  <si>
    <t>Fjordgløtt 19</t>
  </si>
  <si>
    <t>91560008</t>
  </si>
  <si>
    <t>yngve.ottesen@banenor.no</t>
  </si>
  <si>
    <t>98231827</t>
  </si>
  <si>
    <t>Fjellvikveien 4</t>
  </si>
  <si>
    <t>3280 TJODALYNG</t>
  </si>
  <si>
    <t>tobias.revold@gmail.com</t>
  </si>
  <si>
    <t>Dicks vei 15a</t>
  </si>
  <si>
    <t>1366 Lysaker</t>
  </si>
  <si>
    <t>4950 Risør</t>
  </si>
  <si>
    <t>jg@standard.no</t>
  </si>
  <si>
    <t>Address</t>
  </si>
  <si>
    <t>Hvis noen av ovenstående data er feil, rettes dette med blyant/kulepenn.</t>
  </si>
  <si>
    <t xml:space="preserve">Jeg bekrefter med dette at den påmeldte båten </t>
  </si>
  <si>
    <t>har gyldig forsikring i henhold til det ovenstående.</t>
  </si>
  <si>
    <t>*Det som er merket med stjerne(*),</t>
  </si>
  <si>
    <t>inngår ikke i måltallet, men brukes</t>
  </si>
  <si>
    <t>for kontroll av deplasementet.</t>
  </si>
  <si>
    <t>Clipper</t>
  </si>
  <si>
    <t>Norsk Maritimt Museum</t>
  </si>
  <si>
    <t>Bygdøy, Oslo</t>
  </si>
  <si>
    <t>Diesel i tanken i dag</t>
  </si>
  <si>
    <t>Vann i tanken i dag</t>
  </si>
  <si>
    <t>Liter</t>
  </si>
  <si>
    <t>Diesel
liter</t>
  </si>
  <si>
    <t>Vann
liter</t>
  </si>
  <si>
    <t>Diesel og vann tillegges deplasementet</t>
  </si>
  <si>
    <t>og gir lavere måltall</t>
  </si>
  <si>
    <t>Vekt med tomme tanker. (Tanker legges til)</t>
  </si>
  <si>
    <t>Mesan Bermuda</t>
  </si>
  <si>
    <t>Colin Archer / Stephansen</t>
  </si>
  <si>
    <t>Thor Martin Jenssen</t>
  </si>
  <si>
    <t>Storseilts loddrette høyde fra piggbarm til halsbarm</t>
  </si>
  <si>
    <t>Storseilets høyde = masteliket</t>
  </si>
  <si>
    <t>Båt data</t>
  </si>
  <si>
    <t>Teknisk</t>
  </si>
  <si>
    <t>Depl.
tonn
m
tom
tank</t>
  </si>
  <si>
    <t>Depl TBF 2023</t>
  </si>
  <si>
    <t>ex n</t>
  </si>
  <si>
    <t>mob</t>
  </si>
  <si>
    <t>adr</t>
  </si>
  <si>
    <t>Risør</t>
  </si>
  <si>
    <t>epost</t>
  </si>
  <si>
    <t>99311530</t>
  </si>
  <si>
    <t>Deplasement TBF 2023</t>
  </si>
  <si>
    <t>Taralden</t>
  </si>
  <si>
    <t>S+F+G</t>
  </si>
  <si>
    <t>N 498</t>
  </si>
  <si>
    <t>Jørn Andersen</t>
  </si>
  <si>
    <t>48267026</t>
  </si>
  <si>
    <t>jorn.steingrim.andersen@gmail.com</t>
  </si>
  <si>
    <t>Vestsolveien</t>
  </si>
  <si>
    <t>1555 Son</t>
  </si>
  <si>
    <t>Havseiiler</t>
  </si>
  <si>
    <t>Krysserhekk</t>
  </si>
  <si>
    <t>Brdr. Andersen, Son</t>
  </si>
  <si>
    <t>1955/2002</t>
  </si>
  <si>
    <t>Era</t>
  </si>
  <si>
    <t>Knut Halland</t>
  </si>
  <si>
    <t>N 54</t>
  </si>
  <si>
    <t>90281474</t>
  </si>
  <si>
    <t>93216714</t>
  </si>
  <si>
    <t>Soon SF</t>
  </si>
  <si>
    <t>IOD</t>
  </si>
  <si>
    <t>Bjarne Aas</t>
  </si>
  <si>
    <t>Lakkert mahogny</t>
  </si>
  <si>
    <t>TBF 2023-55h</t>
  </si>
  <si>
    <t>KLR oppgitt av båtene</t>
  </si>
  <si>
    <t>E 1</t>
  </si>
  <si>
    <t>Andreas Krause</t>
  </si>
  <si>
    <t>.+49 172 4526 168</t>
  </si>
  <si>
    <t>krause@trivia.de</t>
  </si>
  <si>
    <t>Kiel</t>
  </si>
  <si>
    <t>WSG Sieseby</t>
  </si>
  <si>
    <t>William Fife</t>
  </si>
  <si>
    <t>Fife</t>
  </si>
  <si>
    <t>Nanna</t>
  </si>
  <si>
    <t>99462220</t>
  </si>
  <si>
    <t>Cara</t>
  </si>
  <si>
    <t>Hans Oey</t>
  </si>
  <si>
    <t>Nederland</t>
  </si>
  <si>
    <t>N 1</t>
  </si>
  <si>
    <t>Huk Aveny 63 B</t>
  </si>
  <si>
    <t>0287 Oslo</t>
  </si>
  <si>
    <t>Solgang Social club</t>
  </si>
  <si>
    <t>10m CR</t>
  </si>
  <si>
    <t>Mingary</t>
  </si>
  <si>
    <t>Christian Scheidtmann</t>
  </si>
  <si>
    <t>.+49 177 320 4677</t>
  </si>
  <si>
    <t>Chr.Scheidtmann@googlemail.com</t>
  </si>
  <si>
    <t>Bermuda Ketch</t>
  </si>
  <si>
    <t>Alfred Mylne</t>
  </si>
  <si>
    <t>G 15</t>
  </si>
  <si>
    <t>9- meter tur</t>
  </si>
  <si>
    <t>Jac M. Iversen, Son</t>
  </si>
  <si>
    <t>Moen, Risør</t>
  </si>
  <si>
    <t>hvit</t>
  </si>
  <si>
    <t>Brdr. Jacobsons Båtvarv, Sverige</t>
  </si>
  <si>
    <t>Bermuda Sloop</t>
  </si>
  <si>
    <t>1515 Son</t>
  </si>
  <si>
    <t>Y.O. &amp; Sefrid Jacobsen</t>
  </si>
  <si>
    <t>F. B. H &amp; Tone Hasle</t>
  </si>
  <si>
    <t>2009 Nordby</t>
  </si>
  <si>
    <t>Habstad Båtbyggeri, Fevik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</si>
</sst>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164" formatCode="0.0"/>
    <numFmt numFmtId="165" formatCode="[&lt;=99999999]###_ ##_ ###;\(\+##\)_ ###_ ##_ ###"/>
    <numFmt numFmtId="166" formatCode="0.0000000"/>
    <numFmt numFmtId="167" formatCode="0.000"/>
    <numFmt numFmtId="168" formatCode="#,##0.0\ [$'-1C1A]"/>
    <numFmt numFmtId="169" formatCode="#,##0.0"/>
    <numFmt numFmtId="170" formatCode="#,##0\ [$kvm]"/>
    <numFmt numFmtId="171" formatCode="_ * #,##0.0_ ;_ * \-#,##0.0_ ;_ * &quot;-&quot;_ ;_ @_ "/>
    <numFmt numFmtId="172" formatCode="_ * #,##0.00_ ;_ * \-#,##0.00_ ;_ * &quot;-&quot;_ ;_ @_ "/>
    <numFmt numFmtId="173" formatCode="0\ [$seil]"/>
    <numFmt numFmtId="174" formatCode="#,##0\ [$Kvm]"/>
    <numFmt numFmtId="175" formatCode="#,##0\ [$Kg]"/>
    <numFmt numFmtId="176" formatCode="0.0000"/>
    <numFmt numFmtId="177" formatCode="d\.m\.yy"/>
  </numFmts>
  <fonts count="10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20"/>
      <color rgb="FF000000"/>
      <name val="Arial"/>
      <family val="2"/>
    </font>
    <font>
      <b/>
      <sz val="8"/>
      <color rgb="FF000000"/>
      <name val="Arial"/>
      <family val="2"/>
    </font>
    <font>
      <b/>
      <sz val="20"/>
      <color rgb="FF1F497D"/>
      <name val="Arial"/>
      <family val="2"/>
    </font>
    <font>
      <b/>
      <sz val="9"/>
      <color rgb="FF1F497D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FFFF00"/>
      <name val="Arial"/>
      <family val="2"/>
    </font>
    <font>
      <b/>
      <i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1F497D"/>
      <name val="Arial"/>
      <family val="2"/>
    </font>
    <font>
      <sz val="8"/>
      <color rgb="FF000000"/>
      <name val="Times New Roman"/>
      <family val="1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1F497D"/>
      <name val="Arial"/>
      <family val="2"/>
    </font>
    <font>
      <b/>
      <i/>
      <sz val="12"/>
      <color rgb="FF1F497D"/>
      <name val="Arial"/>
      <family val="2"/>
    </font>
    <font>
      <sz val="9"/>
      <color theme="1"/>
      <name val="Arial"/>
      <family val="2"/>
    </font>
    <font>
      <b/>
      <sz val="10"/>
      <color rgb="FF1F497D"/>
      <name val="Arial"/>
      <family val="2"/>
    </font>
    <font>
      <b/>
      <i/>
      <sz val="8"/>
      <color rgb="FFFFFF00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1F497D"/>
      <name val="Arial"/>
      <family val="2"/>
    </font>
    <font>
      <sz val="16"/>
      <color rgb="FF000000"/>
      <name val="Arial"/>
      <family val="2"/>
    </font>
    <font>
      <sz val="20"/>
      <color rgb="FF000000"/>
      <name val="Arial Black"/>
      <family val="2"/>
    </font>
    <font>
      <sz val="12"/>
      <color rgb="FF000000"/>
      <name val="Arial Black"/>
      <family val="2"/>
    </font>
    <font>
      <sz val="8"/>
      <color rgb="FF000000"/>
      <name val="Arial Narrow"/>
      <family val="2"/>
    </font>
    <font>
      <i/>
      <sz val="8"/>
      <color rgb="FF000000"/>
      <name val="Arial"/>
      <family val="2"/>
    </font>
    <font>
      <b/>
      <sz val="14"/>
      <color rgb="FF000000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1F497D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rgb="FF1F497D"/>
      <name val="Arial"/>
      <family val="2"/>
    </font>
    <font>
      <b/>
      <sz val="8"/>
      <name val="Arial"/>
      <family val="2"/>
    </font>
    <font>
      <b/>
      <sz val="14"/>
      <color rgb="FF1F497D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4"/>
      <color rgb="FF00000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rgb="FF1F497D"/>
      <name val="Arial Narrow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4"/>
      <color rgb="FF000000"/>
      <name val="Arial"/>
      <family val="2"/>
    </font>
    <font>
      <b/>
      <u/>
      <sz val="10"/>
      <color rgb="FF000000"/>
      <name val="Arial Narrow"/>
      <family val="2"/>
    </font>
    <font>
      <b/>
      <i/>
      <sz val="12"/>
      <color theme="0"/>
      <name val="Arial"/>
      <family val="2"/>
    </font>
    <font>
      <i/>
      <sz val="9"/>
      <color rgb="FF000000"/>
      <name val="Arial"/>
      <family val="2"/>
    </font>
    <font>
      <b/>
      <sz val="10"/>
      <color theme="0"/>
      <name val="Arial Black"/>
      <family val="2"/>
    </font>
    <font>
      <b/>
      <sz val="11"/>
      <color theme="0" tint="-0.249977111117893"/>
      <name val="Calibri"/>
      <family val="2"/>
      <scheme val="minor"/>
    </font>
    <font>
      <sz val="8"/>
      <name val="Tms Rmn"/>
    </font>
    <font>
      <b/>
      <sz val="8"/>
      <name val="Tms Rmn"/>
    </font>
    <font>
      <b/>
      <sz val="12"/>
      <color rgb="FF000000"/>
      <name val="Arial Narrow"/>
      <family val="2"/>
    </font>
    <font>
      <b/>
      <u/>
      <sz val="9"/>
      <color rgb="FF000000"/>
      <name val="Arial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u/>
      <sz val="13"/>
      <color theme="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28"/>
      <name val="Times New Roman"/>
      <family val="1"/>
    </font>
    <font>
      <u/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u/>
      <sz val="2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u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b/>
      <i/>
      <sz val="12"/>
      <name val="Times New Roman"/>
      <family val="1"/>
    </font>
    <font>
      <u/>
      <sz val="10"/>
      <name val="Times New Roman"/>
      <family val="1"/>
    </font>
    <font>
      <sz val="10"/>
      <name val="Helv"/>
    </font>
    <font>
      <b/>
      <u/>
      <sz val="24"/>
      <color rgb="FF000000"/>
      <name val="Times New Roman"/>
      <family val="1"/>
    </font>
    <font>
      <sz val="8"/>
      <color theme="1"/>
      <name val="Arial"/>
      <family val="2"/>
    </font>
    <font>
      <u/>
      <sz val="8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1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D7E4B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</cellStyleXfs>
  <cellXfs count="5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2" borderId="0" xfId="0" applyNumberFormat="1" applyFont="1" applyFill="1"/>
    <xf numFmtId="49" fontId="5" fillId="6" borderId="0" xfId="0" applyNumberFormat="1" applyFont="1" applyFill="1" applyAlignment="1">
      <alignment vertical="center"/>
    </xf>
    <xf numFmtId="165" fontId="7" fillId="7" borderId="0" xfId="0" applyNumberFormat="1" applyFont="1" applyFill="1" applyAlignment="1">
      <alignment horizontal="center" vertical="center" wrapText="1"/>
    </xf>
    <xf numFmtId="0" fontId="8" fillId="7" borderId="0" xfId="0" applyFont="1" applyFill="1" applyAlignment="1">
      <alignment vertical="center" wrapText="1"/>
    </xf>
    <xf numFmtId="4" fontId="3" fillId="6" borderId="0" xfId="0" applyNumberFormat="1" applyFont="1" applyFill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166" fontId="9" fillId="8" borderId="0" xfId="0" applyNumberFormat="1" applyFont="1" applyFill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8" fillId="4" borderId="0" xfId="0" applyNumberFormat="1" applyFont="1" applyFill="1" applyAlignment="1">
      <alignment horizontal="center" vertical="center"/>
    </xf>
    <xf numFmtId="49" fontId="7" fillId="6" borderId="0" xfId="0" applyNumberFormat="1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4" fontId="7" fillId="6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2" fontId="10" fillId="0" borderId="0" xfId="0" applyNumberFormat="1" applyFont="1" applyAlignment="1">
      <alignment vertical="center" wrapText="1"/>
    </xf>
    <xf numFmtId="164" fontId="7" fillId="9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166" fontId="9" fillId="8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2" fillId="11" borderId="0" xfId="0" applyNumberFormat="1" applyFont="1" applyFill="1" applyAlignment="1">
      <alignment horizontal="center" vertical="center" textRotation="90"/>
    </xf>
    <xf numFmtId="2" fontId="18" fillId="10" borderId="0" xfId="0" applyNumberFormat="1" applyFont="1" applyFill="1" applyAlignment="1">
      <alignment horizontal="center" vertical="center" wrapText="1"/>
    </xf>
    <xf numFmtId="0" fontId="12" fillId="13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left" textRotation="40" wrapText="1"/>
    </xf>
    <xf numFmtId="164" fontId="6" fillId="4" borderId="0" xfId="0" applyNumberFormat="1" applyFont="1" applyFill="1" applyAlignment="1">
      <alignment horizontal="left" textRotation="40" wrapText="1"/>
    </xf>
    <xf numFmtId="2" fontId="6" fillId="5" borderId="0" xfId="0" applyNumberFormat="1" applyFont="1" applyFill="1" applyAlignment="1">
      <alignment horizontal="center" wrapText="1"/>
    </xf>
    <xf numFmtId="49" fontId="12" fillId="6" borderId="0" xfId="0" applyNumberFormat="1" applyFont="1" applyFill="1" applyAlignment="1">
      <alignment horizontal="center" wrapText="1"/>
    </xf>
    <xf numFmtId="164" fontId="17" fillId="7" borderId="0" xfId="0" applyNumberFormat="1" applyFont="1" applyFill="1" applyAlignment="1">
      <alignment horizontal="center"/>
    </xf>
    <xf numFmtId="2" fontId="19" fillId="14" borderId="1" xfId="0" applyNumberFormat="1" applyFont="1" applyFill="1" applyBorder="1" applyAlignment="1">
      <alignment horizontal="center" vertical="center" textRotation="90" wrapText="1"/>
    </xf>
    <xf numFmtId="2" fontId="7" fillId="9" borderId="0" xfId="0" applyNumberFormat="1" applyFont="1" applyFill="1" applyAlignment="1">
      <alignment horizontal="center" vertical="center"/>
    </xf>
    <xf numFmtId="164" fontId="20" fillId="2" borderId="0" xfId="0" applyNumberFormat="1" applyFont="1" applyFill="1" applyAlignment="1">
      <alignment horizontal="left" textRotation="40" wrapText="1"/>
    </xf>
    <xf numFmtId="164" fontId="6" fillId="0" borderId="0" xfId="0" applyNumberFormat="1" applyFont="1" applyAlignment="1">
      <alignment horizontal="left" textRotation="45" wrapText="1"/>
    </xf>
    <xf numFmtId="0" fontId="4" fillId="0" borderId="0" xfId="0" applyFont="1" applyAlignment="1">
      <alignment horizontal="center" vertical="center" wrapText="1"/>
    </xf>
    <xf numFmtId="167" fontId="21" fillId="8" borderId="0" xfId="0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2" fontId="7" fillId="6" borderId="0" xfId="0" applyNumberFormat="1" applyFont="1" applyFill="1" applyAlignment="1">
      <alignment horizontal="center" vertical="center"/>
    </xf>
    <xf numFmtId="2" fontId="7" fillId="12" borderId="0" xfId="0" applyNumberFormat="1" applyFont="1" applyFill="1" applyAlignment="1">
      <alignment horizontal="center" vertical="center"/>
    </xf>
    <xf numFmtId="171" fontId="7" fillId="0" borderId="0" xfId="0" applyNumberFormat="1" applyFont="1" applyAlignment="1">
      <alignment horizontal="center" vertical="center"/>
    </xf>
    <xf numFmtId="172" fontId="7" fillId="0" borderId="0" xfId="0" applyNumberFormat="1" applyFont="1" applyAlignment="1">
      <alignment horizontal="center" vertical="center"/>
    </xf>
    <xf numFmtId="164" fontId="7" fillId="2" borderId="0" xfId="0" applyNumberFormat="1" applyFont="1" applyFill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9" fontId="7" fillId="13" borderId="0" xfId="1" applyFont="1" applyFill="1" applyAlignment="1">
      <alignment horizontal="center" vertical="center"/>
    </xf>
    <xf numFmtId="0" fontId="16" fillId="9" borderId="0" xfId="0" applyFont="1" applyFill="1" applyAlignment="1">
      <alignment vertical="center"/>
    </xf>
    <xf numFmtId="0" fontId="7" fillId="9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2" fontId="22" fillId="9" borderId="7" xfId="0" applyNumberFormat="1" applyFont="1" applyFill="1" applyBorder="1" applyAlignment="1">
      <alignment horizontal="right" vertical="center"/>
    </xf>
    <xf numFmtId="49" fontId="4" fillId="9" borderId="7" xfId="0" applyNumberFormat="1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vertical="center" wrapText="1"/>
    </xf>
    <xf numFmtId="2" fontId="7" fillId="1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68" fontId="7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173" fontId="7" fillId="13" borderId="0" xfId="0" applyNumberFormat="1" applyFont="1" applyFill="1" applyAlignment="1">
      <alignment horizontal="center" vertical="center"/>
    </xf>
    <xf numFmtId="2" fontId="7" fillId="5" borderId="0" xfId="0" applyNumberFormat="1" applyFont="1" applyFill="1" applyAlignment="1">
      <alignment horizontal="right" vertical="center"/>
    </xf>
    <xf numFmtId="49" fontId="7" fillId="6" borderId="0" xfId="0" applyNumberFormat="1" applyFont="1" applyFill="1" applyAlignment="1">
      <alignment horizontal="center" vertical="center"/>
    </xf>
    <xf numFmtId="1" fontId="7" fillId="0" borderId="0" xfId="0" applyNumberFormat="1" applyFont="1" applyAlignment="1">
      <alignment horizontal="right" vertical="center" wrapText="1" indent="1" readingOrder="2"/>
    </xf>
    <xf numFmtId="0" fontId="4" fillId="9" borderId="0" xfId="0" applyFont="1" applyFill="1" applyAlignment="1">
      <alignment horizontal="center" vertical="center" wrapText="1"/>
    </xf>
    <xf numFmtId="49" fontId="4" fillId="9" borderId="0" xfId="0" applyNumberFormat="1" applyFont="1" applyFill="1" applyAlignment="1">
      <alignment horizontal="center" vertical="center"/>
    </xf>
    <xf numFmtId="49" fontId="7" fillId="9" borderId="7" xfId="0" applyNumberFormat="1" applyFont="1" applyFill="1" applyBorder="1" applyAlignment="1">
      <alignment horizontal="center" vertical="center"/>
    </xf>
    <xf numFmtId="49" fontId="7" fillId="9" borderId="7" xfId="0" applyNumberFormat="1" applyFont="1" applyFill="1" applyBorder="1" applyAlignment="1">
      <alignment vertical="center"/>
    </xf>
    <xf numFmtId="2" fontId="10" fillId="9" borderId="0" xfId="0" applyNumberFormat="1" applyFont="1" applyFill="1" applyAlignment="1">
      <alignment horizontal="center" vertical="center"/>
    </xf>
    <xf numFmtId="167" fontId="10" fillId="9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 indent="1" readingOrder="2"/>
    </xf>
    <xf numFmtId="0" fontId="7" fillId="9" borderId="0" xfId="0" applyFont="1" applyFill="1" applyAlignment="1">
      <alignment vertical="center" wrapText="1"/>
    </xf>
    <xf numFmtId="164" fontId="6" fillId="2" borderId="0" xfId="0" applyNumberFormat="1" applyFont="1" applyFill="1" applyAlignment="1">
      <alignment horizontal="left" textRotation="40"/>
    </xf>
    <xf numFmtId="164" fontId="8" fillId="4" borderId="0" xfId="0" applyNumberFormat="1" applyFont="1" applyFill="1" applyAlignment="1">
      <alignment horizontal="left" vertical="center"/>
    </xf>
    <xf numFmtId="164" fontId="24" fillId="4" borderId="0" xfId="0" applyNumberFormat="1" applyFont="1" applyFill="1"/>
    <xf numFmtId="0" fontId="25" fillId="4" borderId="0" xfId="0" applyFont="1" applyFill="1" applyAlignment="1">
      <alignment vertical="center" wrapText="1"/>
    </xf>
    <xf numFmtId="164" fontId="24" fillId="4" borderId="0" xfId="0" applyNumberFormat="1" applyFont="1" applyFill="1" applyAlignment="1">
      <alignment vertical="center"/>
    </xf>
    <xf numFmtId="164" fontId="24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vertical="center" wrapText="1"/>
    </xf>
    <xf numFmtId="164" fontId="24" fillId="15" borderId="0" xfId="0" applyNumberFormat="1" applyFont="1" applyFill="1" applyAlignment="1">
      <alignment vertical="center"/>
    </xf>
    <xf numFmtId="164" fontId="6" fillId="15" borderId="0" xfId="0" applyNumberFormat="1" applyFont="1" applyFill="1" applyAlignment="1">
      <alignment horizontal="left" textRotation="40" wrapText="1"/>
    </xf>
    <xf numFmtId="0" fontId="25" fillId="15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horizontal="center" vertical="center"/>
    </xf>
    <xf numFmtId="2" fontId="24" fillId="5" borderId="0" xfId="0" applyNumberFormat="1" applyFont="1" applyFill="1" applyAlignment="1">
      <alignment vertical="center"/>
    </xf>
    <xf numFmtId="49" fontId="24" fillId="6" borderId="0" xfId="0" applyNumberFormat="1" applyFont="1" applyFill="1" applyAlignment="1">
      <alignment vertical="center"/>
    </xf>
    <xf numFmtId="164" fontId="24" fillId="15" borderId="0" xfId="0" applyNumberFormat="1" applyFont="1" applyFill="1" applyAlignment="1">
      <alignment vertical="center" textRotation="90"/>
    </xf>
    <xf numFmtId="2" fontId="6" fillId="2" borderId="0" xfId="0" applyNumberFormat="1" applyFont="1" applyFill="1" applyAlignment="1">
      <alignment horizontal="left" textRotation="40" wrapText="1"/>
    </xf>
    <xf numFmtId="2" fontId="26" fillId="0" borderId="0" xfId="0" applyNumberFormat="1" applyFont="1" applyAlignment="1">
      <alignment vertical="center" wrapText="1"/>
    </xf>
    <xf numFmtId="2" fontId="27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/>
    </xf>
    <xf numFmtId="2" fontId="12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horizontal="center" vertical="center" wrapText="1"/>
    </xf>
    <xf numFmtId="9" fontId="7" fillId="0" borderId="0" xfId="1" applyFont="1" applyAlignment="1">
      <alignment horizontal="center" vertical="center" wrapText="1"/>
    </xf>
    <xf numFmtId="167" fontId="9" fillId="8" borderId="0" xfId="0" applyNumberFormat="1" applyFont="1" applyFill="1" applyAlignment="1">
      <alignment horizontal="center" vertical="center" wrapText="1"/>
    </xf>
    <xf numFmtId="0" fontId="4" fillId="16" borderId="0" xfId="0" applyFont="1" applyFill="1" applyAlignment="1">
      <alignment horizontal="left" vertical="center" indent="1"/>
    </xf>
    <xf numFmtId="0" fontId="10" fillId="0" borderId="0" xfId="0" applyFont="1" applyAlignment="1">
      <alignment horizontal="right" vertical="center"/>
    </xf>
    <xf numFmtId="2" fontId="14" fillId="0" borderId="0" xfId="0" applyNumberFormat="1" applyFont="1" applyAlignment="1">
      <alignment horizontal="center" vertical="center" wrapText="1"/>
    </xf>
    <xf numFmtId="170" fontId="7" fillId="0" borderId="0" xfId="0" applyNumberFormat="1" applyFont="1" applyAlignment="1">
      <alignment horizontal="right" vertical="center"/>
    </xf>
    <xf numFmtId="2" fontId="7" fillId="13" borderId="0" xfId="1" applyNumberFormat="1" applyFont="1" applyFill="1" applyAlignment="1">
      <alignment horizontal="center" vertical="center"/>
    </xf>
    <xf numFmtId="170" fontId="4" fillId="16" borderId="0" xfId="0" applyNumberFormat="1" applyFont="1" applyFill="1" applyAlignment="1">
      <alignment horizontal="right" vertical="center" indent="1"/>
    </xf>
    <xf numFmtId="2" fontId="4" fillId="16" borderId="0" xfId="0" applyNumberFormat="1" applyFont="1" applyFill="1" applyAlignment="1">
      <alignment horizontal="left" vertical="center" indent="1"/>
    </xf>
    <xf numFmtId="174" fontId="7" fillId="13" borderId="0" xfId="0" applyNumberFormat="1" applyFont="1" applyFill="1" applyAlignment="1">
      <alignment horizontal="right" vertical="center"/>
    </xf>
    <xf numFmtId="174" fontId="4" fillId="16" borderId="0" xfId="0" applyNumberFormat="1" applyFont="1" applyFill="1" applyAlignment="1">
      <alignment horizontal="left" vertical="center" indent="1"/>
    </xf>
    <xf numFmtId="174" fontId="7" fillId="13" borderId="0" xfId="0" applyNumberFormat="1" applyFont="1" applyFill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0" fontId="4" fillId="17" borderId="0" xfId="0" applyFont="1" applyFill="1" applyAlignment="1">
      <alignment horizontal="left" vertical="center" indent="1"/>
    </xf>
    <xf numFmtId="17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2" fontId="7" fillId="0" borderId="0" xfId="1" applyNumberFormat="1" applyFont="1" applyFill="1" applyAlignment="1">
      <alignment horizontal="center" vertical="center"/>
    </xf>
    <xf numFmtId="9" fontId="7" fillId="0" borderId="0" xfId="1" applyFont="1" applyFill="1" applyAlignment="1">
      <alignment horizontal="center" vertical="center"/>
    </xf>
    <xf numFmtId="0" fontId="30" fillId="16" borderId="0" xfId="0" applyFont="1" applyFill="1" applyAlignment="1">
      <alignment horizontal="left" vertical="center" indent="1"/>
    </xf>
    <xf numFmtId="9" fontId="28" fillId="0" borderId="0" xfId="1" applyFont="1" applyFill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167" fontId="29" fillId="0" borderId="9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0" fontId="31" fillId="0" borderId="0" xfId="0" applyFont="1"/>
    <xf numFmtId="167" fontId="3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2" fontId="3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14" fillId="0" borderId="5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167" fontId="34" fillId="0" borderId="0" xfId="0" applyNumberFormat="1" applyFont="1" applyAlignment="1">
      <alignment horizontal="center"/>
    </xf>
    <xf numFmtId="2" fontId="35" fillId="10" borderId="0" xfId="0" applyNumberFormat="1" applyFont="1" applyFill="1" applyAlignment="1">
      <alignment horizontal="center" vertical="center" wrapText="1"/>
    </xf>
    <xf numFmtId="167" fontId="36" fillId="0" borderId="0" xfId="0" applyNumberFormat="1" applyFont="1" applyAlignment="1">
      <alignment horizontal="center" vertical="center"/>
    </xf>
    <xf numFmtId="0" fontId="34" fillId="0" borderId="0" xfId="0" applyFont="1"/>
    <xf numFmtId="2" fontId="37" fillId="0" borderId="0" xfId="0" applyNumberFormat="1" applyFont="1" applyAlignment="1">
      <alignment horizontal="center"/>
    </xf>
    <xf numFmtId="167" fontId="10" fillId="18" borderId="0" xfId="0" applyNumberFormat="1" applyFont="1" applyFill="1" applyAlignment="1">
      <alignment horizontal="center" vertical="center"/>
    </xf>
    <xf numFmtId="164" fontId="33" fillId="17" borderId="0" xfId="0" applyNumberFormat="1" applyFont="1" applyFill="1" applyAlignment="1">
      <alignment horizontal="center"/>
    </xf>
    <xf numFmtId="1" fontId="31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 vertical="center" wrapText="1"/>
    </xf>
    <xf numFmtId="1" fontId="31" fillId="0" borderId="0" xfId="0" applyNumberFormat="1" applyFont="1"/>
    <xf numFmtId="1" fontId="32" fillId="0" borderId="0" xfId="0" applyNumberFormat="1" applyFont="1" applyAlignment="1">
      <alignment horizontal="center" vertical="center"/>
    </xf>
    <xf numFmtId="1" fontId="32" fillId="12" borderId="0" xfId="0" applyNumberFormat="1" applyFont="1" applyFill="1" applyAlignment="1">
      <alignment horizontal="center" vertical="center"/>
    </xf>
    <xf numFmtId="164" fontId="5" fillId="4" borderId="0" xfId="0" applyNumberFormat="1" applyFont="1" applyFill="1"/>
    <xf numFmtId="164" fontId="7" fillId="4" borderId="7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164" fontId="22" fillId="4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8" fillId="1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18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2" xfId="0" applyFont="1" applyBorder="1" applyAlignment="1">
      <alignment horizontal="right" vertical="center"/>
    </xf>
    <xf numFmtId="2" fontId="40" fillId="10" borderId="0" xfId="0" applyNumberFormat="1" applyFont="1" applyFill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2" fontId="8" fillId="10" borderId="0" xfId="0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22" fillId="10" borderId="6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2" fillId="16" borderId="0" xfId="0" applyFont="1" applyFill="1" applyAlignment="1">
      <alignment horizontal="left" vertical="center" indent="1"/>
    </xf>
    <xf numFmtId="0" fontId="31" fillId="0" borderId="0" xfId="0" applyFont="1" applyAlignment="1">
      <alignment vertical="center" wrapText="1"/>
    </xf>
    <xf numFmtId="2" fontId="22" fillId="0" borderId="0" xfId="0" applyNumberFormat="1" applyFont="1" applyAlignment="1">
      <alignment horizontal="right" vertical="center"/>
    </xf>
    <xf numFmtId="164" fontId="22" fillId="9" borderId="7" xfId="0" applyNumberFormat="1" applyFont="1" applyFill="1" applyBorder="1" applyAlignment="1">
      <alignment horizontal="center" vertical="center"/>
    </xf>
    <xf numFmtId="164" fontId="7" fillId="9" borderId="7" xfId="0" applyNumberFormat="1" applyFont="1" applyFill="1" applyBorder="1" applyAlignment="1">
      <alignment horizontal="center" vertical="center"/>
    </xf>
    <xf numFmtId="172" fontId="7" fillId="9" borderId="0" xfId="0" applyNumberFormat="1" applyFont="1" applyFill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41" fillId="0" borderId="0" xfId="0" applyNumberFormat="1" applyFont="1" applyAlignment="1">
      <alignment horizontal="center" wrapText="1"/>
    </xf>
    <xf numFmtId="2" fontId="22" fillId="12" borderId="7" xfId="0" applyNumberFormat="1" applyFont="1" applyFill="1" applyBorder="1" applyAlignment="1">
      <alignment horizontal="right" vertical="center"/>
    </xf>
    <xf numFmtId="0" fontId="43" fillId="2" borderId="0" xfId="0" applyFont="1" applyFill="1" applyAlignment="1">
      <alignment vertical="center" wrapText="1"/>
    </xf>
    <xf numFmtId="2" fontId="41" fillId="2" borderId="0" xfId="0" applyNumberFormat="1" applyFont="1" applyFill="1" applyAlignment="1">
      <alignment horizontal="center" wrapText="1"/>
    </xf>
    <xf numFmtId="9" fontId="7" fillId="2" borderId="0" xfId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right" vertical="center" wrapText="1" indent="1" readingOrder="2"/>
    </xf>
    <xf numFmtId="0" fontId="0" fillId="0" borderId="0" xfId="0" applyAlignment="1">
      <alignment horizontal="left"/>
    </xf>
    <xf numFmtId="164" fontId="22" fillId="12" borderId="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164" fontId="7" fillId="12" borderId="7" xfId="0" applyNumberFormat="1" applyFont="1" applyFill="1" applyBorder="1" applyAlignment="1">
      <alignment horizontal="center" vertical="center"/>
    </xf>
    <xf numFmtId="2" fontId="15" fillId="12" borderId="0" xfId="0" applyNumberFormat="1" applyFont="1" applyFill="1" applyAlignment="1">
      <alignment horizontal="center" vertical="center"/>
    </xf>
    <xf numFmtId="2" fontId="18" fillId="12" borderId="0" xfId="0" applyNumberFormat="1" applyFont="1" applyFill="1" applyAlignment="1">
      <alignment horizontal="center" vertical="center" wrapText="1"/>
    </xf>
    <xf numFmtId="9" fontId="0" fillId="0" borderId="0" xfId="1" applyFont="1" applyAlignment="1">
      <alignment horizontal="center"/>
    </xf>
    <xf numFmtId="2" fontId="33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4" fontId="24" fillId="2" borderId="0" xfId="0" applyNumberFormat="1" applyFont="1" applyFill="1" applyAlignment="1">
      <alignment horizontal="center"/>
    </xf>
    <xf numFmtId="4" fontId="7" fillId="9" borderId="3" xfId="0" applyNumberFormat="1" applyFont="1" applyFill="1" applyBorder="1" applyAlignment="1">
      <alignment horizontal="center" vertical="center" wrapText="1"/>
    </xf>
    <xf numFmtId="169" fontId="4" fillId="9" borderId="5" xfId="0" applyNumberFormat="1" applyFont="1" applyFill="1" applyBorder="1" applyAlignment="1">
      <alignment horizontal="center" vertical="center" wrapText="1"/>
    </xf>
    <xf numFmtId="9" fontId="22" fillId="2" borderId="4" xfId="1" applyFont="1" applyFill="1" applyBorder="1" applyAlignment="1">
      <alignment horizontal="right" vertical="center"/>
    </xf>
    <xf numFmtId="0" fontId="15" fillId="12" borderId="0" xfId="0" applyFont="1" applyFill="1" applyAlignment="1">
      <alignment vertical="center" wrapText="1"/>
    </xf>
    <xf numFmtId="0" fontId="0" fillId="9" borderId="0" xfId="0" applyFill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5" fontId="0" fillId="0" borderId="5" xfId="0" applyNumberForma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0" borderId="2" xfId="0" applyFont="1" applyBorder="1" applyAlignment="1">
      <alignment horizontal="right"/>
    </xf>
    <xf numFmtId="164" fontId="7" fillId="2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2" fontId="12" fillId="13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wrapText="1"/>
    </xf>
    <xf numFmtId="0" fontId="32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8" fillId="1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4" fillId="16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7" fillId="0" borderId="0" xfId="0" applyNumberFormat="1" applyFont="1" applyAlignment="1">
      <alignment horizontal="center" vertical="center" readingOrder="2"/>
    </xf>
    <xf numFmtId="0" fontId="46" fillId="0" borderId="0" xfId="0" applyFont="1" applyAlignment="1">
      <alignment vertical="center"/>
    </xf>
    <xf numFmtId="174" fontId="45" fillId="0" borderId="0" xfId="0" applyNumberFormat="1" applyFont="1" applyAlignment="1">
      <alignment horizontal="left" vertical="center"/>
    </xf>
    <xf numFmtId="0" fontId="32" fillId="0" borderId="12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wrapText="1"/>
    </xf>
    <xf numFmtId="9" fontId="47" fillId="0" borderId="0" xfId="1" applyFont="1" applyFill="1" applyAlignment="1">
      <alignment horizontal="center" vertical="center"/>
    </xf>
    <xf numFmtId="0" fontId="12" fillId="6" borderId="0" xfId="0" applyFont="1" applyFill="1" applyAlignment="1">
      <alignment horizontal="center" textRotation="90" wrapText="1"/>
    </xf>
    <xf numFmtId="0" fontId="48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2" fontId="49" fillId="0" borderId="0" xfId="0" applyNumberFormat="1" applyFont="1" applyAlignment="1">
      <alignment horizontal="center"/>
    </xf>
    <xf numFmtId="168" fontId="28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" fontId="8" fillId="0" borderId="0" xfId="0" applyNumberFormat="1" applyFont="1" applyAlignment="1">
      <alignment horizontal="right" vertical="center"/>
    </xf>
    <xf numFmtId="1" fontId="6" fillId="13" borderId="0" xfId="0" applyNumberFormat="1" applyFont="1" applyFill="1" applyAlignment="1">
      <alignment horizontal="center" textRotation="45" wrapText="1"/>
    </xf>
    <xf numFmtId="174" fontId="22" fillId="13" borderId="0" xfId="0" applyNumberFormat="1" applyFont="1" applyFill="1" applyAlignment="1">
      <alignment horizontal="right" vertical="center"/>
    </xf>
    <xf numFmtId="174" fontId="22" fillId="0" borderId="0" xfId="0" applyNumberFormat="1" applyFont="1" applyAlignment="1">
      <alignment horizontal="right" vertical="center"/>
    </xf>
    <xf numFmtId="174" fontId="22" fillId="16" borderId="0" xfId="0" applyNumberFormat="1" applyFont="1" applyFill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9" fontId="47" fillId="0" borderId="0" xfId="1" applyFont="1" applyFill="1" applyAlignment="1">
      <alignment horizontal="center"/>
    </xf>
    <xf numFmtId="2" fontId="44" fillId="12" borderId="0" xfId="0" applyNumberFormat="1" applyFont="1" applyFill="1" applyAlignment="1">
      <alignment horizontal="left" vertical="center"/>
    </xf>
    <xf numFmtId="2" fontId="12" fillId="2" borderId="0" xfId="0" applyNumberFormat="1" applyFont="1" applyFill="1" applyAlignment="1">
      <alignment horizontal="center" wrapText="1"/>
    </xf>
    <xf numFmtId="167" fontId="9" fillId="19" borderId="0" xfId="0" applyNumberFormat="1" applyFont="1" applyFill="1" applyAlignment="1">
      <alignment horizontal="center" vertical="center" wrapText="1"/>
    </xf>
    <xf numFmtId="2" fontId="47" fillId="19" borderId="0" xfId="1" applyNumberFormat="1" applyFont="1" applyFill="1" applyAlignment="1">
      <alignment horizontal="center" vertical="center"/>
    </xf>
    <xf numFmtId="167" fontId="21" fillId="19" borderId="0" xfId="0" applyNumberFormat="1" applyFont="1" applyFill="1" applyAlignment="1">
      <alignment horizontal="center" vertical="center"/>
    </xf>
    <xf numFmtId="167" fontId="50" fillId="19" borderId="0" xfId="0" applyNumberFormat="1" applyFont="1" applyFill="1" applyAlignment="1">
      <alignment horizontal="center" vertical="center" wrapText="1"/>
    </xf>
    <xf numFmtId="167" fontId="51" fillId="19" borderId="0" xfId="0" applyNumberFormat="1" applyFont="1" applyFill="1" applyAlignment="1">
      <alignment horizontal="center" vertical="center"/>
    </xf>
    <xf numFmtId="176" fontId="50" fillId="19" borderId="0" xfId="0" applyNumberFormat="1" applyFont="1" applyFill="1" applyAlignment="1">
      <alignment horizontal="center" vertical="center" wrapText="1"/>
    </xf>
    <xf numFmtId="164" fontId="11" fillId="4" borderId="0" xfId="0" applyNumberFormat="1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164" fontId="11" fillId="15" borderId="0" xfId="0" applyNumberFormat="1" applyFont="1" applyFill="1" applyAlignment="1">
      <alignment vertical="center"/>
    </xf>
    <xf numFmtId="164" fontId="8" fillId="4" borderId="13" xfId="0" applyNumberFormat="1" applyFont="1" applyFill="1" applyBorder="1" applyAlignment="1">
      <alignment horizontal="left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left" vertical="center"/>
    </xf>
    <xf numFmtId="164" fontId="43" fillId="4" borderId="14" xfId="0" applyNumberFormat="1" applyFont="1" applyFill="1" applyBorder="1" applyAlignment="1">
      <alignment horizontal="left" vertical="center"/>
    </xf>
    <xf numFmtId="164" fontId="11" fillId="4" borderId="14" xfId="0" applyNumberFormat="1" applyFont="1" applyFill="1" applyBorder="1" applyAlignment="1">
      <alignment vertical="center"/>
    </xf>
    <xf numFmtId="164" fontId="11" fillId="2" borderId="14" xfId="0" applyNumberFormat="1" applyFont="1" applyFill="1" applyBorder="1" applyAlignment="1">
      <alignment vertical="center"/>
    </xf>
    <xf numFmtId="164" fontId="8" fillId="2" borderId="14" xfId="0" applyNumberFormat="1" applyFont="1" applyFill="1" applyBorder="1" applyAlignment="1">
      <alignment horizontal="center" vertical="center"/>
    </xf>
    <xf numFmtId="164" fontId="11" fillId="15" borderId="14" xfId="0" applyNumberFormat="1" applyFont="1" applyFill="1" applyBorder="1" applyAlignment="1">
      <alignment vertical="center"/>
    </xf>
    <xf numFmtId="164" fontId="8" fillId="4" borderId="15" xfId="0" applyNumberFormat="1" applyFont="1" applyFill="1" applyBorder="1" applyAlignment="1">
      <alignment horizontal="left" vertical="center"/>
    </xf>
    <xf numFmtId="164" fontId="52" fillId="4" borderId="0" xfId="0" applyNumberFormat="1" applyFont="1" applyFill="1" applyAlignment="1">
      <alignment horizontal="left" vertical="center"/>
    </xf>
    <xf numFmtId="1" fontId="0" fillId="0" borderId="5" xfId="0" applyNumberFormat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24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74" fontId="2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22" fillId="12" borderId="7" xfId="0" applyNumberFormat="1" applyFont="1" applyFill="1" applyBorder="1" applyAlignment="1">
      <alignment horizontal="center" vertical="center"/>
    </xf>
    <xf numFmtId="164" fontId="53" fillId="4" borderId="0" xfId="0" applyNumberFormat="1" applyFont="1" applyFill="1" applyAlignment="1">
      <alignment horizontal="left" vertical="center"/>
    </xf>
    <xf numFmtId="167" fontId="28" fillId="0" borderId="0" xfId="0" applyNumberFormat="1" applyFont="1" applyAlignment="1">
      <alignment horizontal="center" vertical="center"/>
    </xf>
    <xf numFmtId="167" fontId="22" fillId="16" borderId="0" xfId="0" applyNumberFormat="1" applyFont="1" applyFill="1" applyAlignment="1">
      <alignment horizontal="left" vertical="center"/>
    </xf>
    <xf numFmtId="167" fontId="4" fillId="16" borderId="0" xfId="0" applyNumberFormat="1" applyFont="1" applyFill="1" applyAlignment="1">
      <alignment horizontal="left" vertical="center"/>
    </xf>
    <xf numFmtId="164" fontId="15" fillId="4" borderId="0" xfId="0" applyNumberFormat="1" applyFont="1" applyFill="1" applyAlignment="1">
      <alignment horizontal="right" vertical="center"/>
    </xf>
    <xf numFmtId="9" fontId="22" fillId="15" borderId="0" xfId="1" applyFont="1" applyFill="1" applyAlignment="1">
      <alignment horizontal="center" vertical="center" wrapText="1"/>
    </xf>
    <xf numFmtId="2" fontId="22" fillId="9" borderId="7" xfId="0" applyNumberFormat="1" applyFont="1" applyFill="1" applyBorder="1" applyAlignment="1">
      <alignment horizontal="center" vertical="center"/>
    </xf>
    <xf numFmtId="0" fontId="11" fillId="16" borderId="0" xfId="0" applyFont="1" applyFill="1" applyAlignment="1">
      <alignment vertical="center"/>
    </xf>
    <xf numFmtId="0" fontId="11" fillId="16" borderId="0" xfId="0" applyFont="1" applyFill="1" applyAlignment="1">
      <alignment vertical="center" wrapText="1"/>
    </xf>
    <xf numFmtId="167" fontId="22" fillId="20" borderId="6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 vertical="center" wrapText="1"/>
    </xf>
    <xf numFmtId="9" fontId="22" fillId="2" borderId="10" xfId="1" applyFont="1" applyFill="1" applyBorder="1" applyAlignment="1">
      <alignment horizontal="right" vertical="center"/>
    </xf>
    <xf numFmtId="4" fontId="7" fillId="15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6" fillId="2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top" wrapText="1"/>
    </xf>
    <xf numFmtId="1" fontId="22" fillId="9" borderId="7" xfId="0" applyNumberFormat="1" applyFont="1" applyFill="1" applyBorder="1" applyAlignment="1">
      <alignment horizontal="center" vertical="center"/>
    </xf>
    <xf numFmtId="1" fontId="22" fillId="12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7" fillId="5" borderId="0" xfId="0" applyNumberFormat="1" applyFont="1" applyFill="1" applyAlignment="1">
      <alignment horizontal="center" vertical="center"/>
    </xf>
    <xf numFmtId="2" fontId="24" fillId="5" borderId="0" xfId="0" applyNumberFormat="1" applyFont="1" applyFill="1" applyAlignment="1">
      <alignment horizontal="center" vertical="center"/>
    </xf>
    <xf numFmtId="2" fontId="22" fillId="9" borderId="7" xfId="0" applyNumberFormat="1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 wrapText="1"/>
    </xf>
    <xf numFmtId="9" fontId="4" fillId="2" borderId="0" xfId="1" applyFont="1" applyFill="1" applyAlignment="1">
      <alignment horizontal="center" vertical="center" wrapText="1"/>
    </xf>
    <xf numFmtId="1" fontId="4" fillId="2" borderId="0" xfId="0" applyNumberFormat="1" applyFont="1" applyFill="1" applyAlignment="1">
      <alignment horizontal="right" vertical="center" wrapText="1" indent="1" readingOrder="2"/>
    </xf>
    <xf numFmtId="0" fontId="3" fillId="6" borderId="0" xfId="0" applyFont="1" applyFill="1" applyAlignment="1">
      <alignment vertical="center" wrapText="1"/>
    </xf>
    <xf numFmtId="0" fontId="7" fillId="6" borderId="0" xfId="0" applyFont="1" applyFill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22" fillId="16" borderId="0" xfId="0" applyFont="1" applyFill="1" applyAlignment="1">
      <alignment horizontal="left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vertical="center"/>
    </xf>
    <xf numFmtId="0" fontId="12" fillId="6" borderId="0" xfId="0" applyFont="1" applyFill="1" applyAlignment="1">
      <alignment horizontal="center" textRotation="90"/>
    </xf>
    <xf numFmtId="0" fontId="12" fillId="6" borderId="0" xfId="0" applyFont="1" applyFill="1" applyAlignment="1">
      <alignment horizontal="center" wrapText="1"/>
    </xf>
    <xf numFmtId="0" fontId="4" fillId="9" borderId="8" xfId="0" applyFont="1" applyFill="1" applyBorder="1" applyAlignment="1">
      <alignment horizontal="center" vertical="center"/>
    </xf>
    <xf numFmtId="0" fontId="58" fillId="0" borderId="17" xfId="0" applyFont="1" applyBorder="1"/>
    <xf numFmtId="0" fontId="59" fillId="0" borderId="18" xfId="0" applyFont="1" applyBorder="1"/>
    <xf numFmtId="0" fontId="58" fillId="0" borderId="19" xfId="0" applyFont="1" applyBorder="1"/>
    <xf numFmtId="0" fontId="58" fillId="0" borderId="20" xfId="0" applyFont="1" applyBorder="1" applyAlignment="1">
      <alignment horizontal="center"/>
    </xf>
    <xf numFmtId="0" fontId="58" fillId="0" borderId="0" xfId="0" applyFont="1" applyAlignment="1">
      <alignment horizontal="center"/>
    </xf>
    <xf numFmtId="2" fontId="58" fillId="0" borderId="21" xfId="0" applyNumberFormat="1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2" fontId="58" fillId="0" borderId="24" xfId="0" applyNumberFormat="1" applyFont="1" applyBorder="1" applyAlignment="1">
      <alignment horizontal="center"/>
    </xf>
    <xf numFmtId="49" fontId="24" fillId="6" borderId="0" xfId="0" applyNumberFormat="1" applyFont="1" applyFill="1" applyAlignment="1">
      <alignment horizontal="right" vertical="center"/>
    </xf>
    <xf numFmtId="0" fontId="6" fillId="6" borderId="0" xfId="0" applyFont="1" applyFill="1" applyAlignment="1">
      <alignment horizontal="left" textRotation="42"/>
    </xf>
    <xf numFmtId="0" fontId="6" fillId="6" borderId="0" xfId="0" applyFont="1" applyFill="1" applyAlignment="1">
      <alignment horizontal="left" textRotation="46" wrapText="1"/>
    </xf>
    <xf numFmtId="164" fontId="22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center" wrapText="1" indent="1" readingOrder="2"/>
    </xf>
    <xf numFmtId="2" fontId="2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/>
    </xf>
    <xf numFmtId="0" fontId="7" fillId="6" borderId="14" xfId="0" applyFont="1" applyFill="1" applyBorder="1" applyAlignment="1">
      <alignment horizontal="center" vertical="center" wrapText="1"/>
    </xf>
    <xf numFmtId="2" fontId="7" fillId="6" borderId="15" xfId="0" applyNumberFormat="1" applyFont="1" applyFill="1" applyBorder="1" applyAlignment="1">
      <alignment horizontal="center" vertical="center" wrapText="1"/>
    </xf>
    <xf numFmtId="4" fontId="7" fillId="6" borderId="0" xfId="0" applyNumberFormat="1" applyFont="1" applyFill="1" applyAlignment="1">
      <alignment horizontal="left" vertical="center"/>
    </xf>
    <xf numFmtId="2" fontId="7" fillId="6" borderId="0" xfId="0" applyNumberFormat="1" applyFont="1" applyFill="1" applyAlignment="1">
      <alignment horizontal="center" vertical="center" wrapText="1"/>
    </xf>
    <xf numFmtId="2" fontId="7" fillId="6" borderId="25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left" vertical="center"/>
    </xf>
    <xf numFmtId="2" fontId="7" fillId="6" borderId="2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2" fontId="5" fillId="6" borderId="0" xfId="0" applyNumberFormat="1" applyFont="1" applyFill="1" applyAlignment="1">
      <alignment vertical="center"/>
    </xf>
    <xf numFmtId="2" fontId="12" fillId="6" borderId="0" xfId="0" applyNumberFormat="1" applyFont="1" applyFill="1" applyAlignment="1">
      <alignment vertical="center"/>
    </xf>
    <xf numFmtId="2" fontId="12" fillId="6" borderId="12" xfId="0" applyNumberFormat="1" applyFont="1" applyFill="1" applyBorder="1" applyAlignment="1">
      <alignment vertical="center"/>
    </xf>
    <xf numFmtId="0" fontId="8" fillId="6" borderId="0" xfId="0" applyFont="1" applyFill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17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" fontId="7" fillId="9" borderId="9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60" fillId="0" borderId="0" xfId="0" applyFont="1" applyAlignment="1">
      <alignment vertical="center"/>
    </xf>
    <xf numFmtId="9" fontId="47" fillId="2" borderId="17" xfId="1" applyFont="1" applyFill="1" applyBorder="1" applyAlignment="1">
      <alignment horizontal="center" vertical="center"/>
    </xf>
    <xf numFmtId="9" fontId="47" fillId="2" borderId="18" xfId="1" applyFont="1" applyFill="1" applyBorder="1" applyAlignment="1">
      <alignment horizontal="center" vertical="center"/>
    </xf>
    <xf numFmtId="2" fontId="27" fillId="2" borderId="18" xfId="0" applyNumberFormat="1" applyFont="1" applyFill="1" applyBorder="1" applyAlignment="1">
      <alignment horizontal="center" vertical="center" wrapText="1"/>
    </xf>
    <xf numFmtId="9" fontId="8" fillId="2" borderId="7" xfId="1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wrapText="1"/>
    </xf>
    <xf numFmtId="164" fontId="24" fillId="2" borderId="0" xfId="0" applyNumberFormat="1" applyFont="1" applyFill="1"/>
    <xf numFmtId="164" fontId="42" fillId="2" borderId="0" xfId="0" applyNumberFormat="1" applyFont="1" applyFill="1"/>
    <xf numFmtId="164" fontId="42" fillId="2" borderId="0" xfId="0" applyNumberFormat="1" applyFont="1" applyFill="1" applyAlignment="1">
      <alignment horizontal="center"/>
    </xf>
    <xf numFmtId="164" fontId="42" fillId="2" borderId="0" xfId="0" applyNumberFormat="1" applyFont="1" applyFill="1" applyAlignment="1">
      <alignment vertical="center"/>
    </xf>
    <xf numFmtId="164" fontId="42" fillId="2" borderId="0" xfId="0" applyNumberFormat="1" applyFont="1" applyFill="1" applyAlignment="1">
      <alignment horizontal="center" vertical="center"/>
    </xf>
    <xf numFmtId="164" fontId="20" fillId="2" borderId="0" xfId="0" applyNumberFormat="1" applyFont="1" applyFill="1" applyAlignment="1">
      <alignment horizontal="center" vertical="center" wrapText="1"/>
    </xf>
    <xf numFmtId="164" fontId="42" fillId="2" borderId="8" xfId="0" applyNumberFormat="1" applyFont="1" applyFill="1" applyBorder="1"/>
    <xf numFmtId="164" fontId="42" fillId="2" borderId="27" xfId="0" applyNumberFormat="1" applyFont="1" applyFill="1" applyBorder="1" applyAlignment="1">
      <alignment horizontal="center"/>
    </xf>
    <xf numFmtId="0" fontId="43" fillId="2" borderId="27" xfId="0" applyFont="1" applyFill="1" applyBorder="1" applyAlignment="1">
      <alignment vertical="center" wrapText="1"/>
    </xf>
    <xf numFmtId="164" fontId="42" fillId="2" borderId="28" xfId="0" applyNumberFormat="1" applyFont="1" applyFill="1" applyBorder="1" applyAlignment="1">
      <alignment horizontal="center"/>
    </xf>
    <xf numFmtId="164" fontId="42" fillId="2" borderId="8" xfId="0" applyNumberFormat="1" applyFont="1" applyFill="1" applyBorder="1" applyAlignment="1">
      <alignment vertical="center"/>
    </xf>
    <xf numFmtId="164" fontId="42" fillId="2" borderId="27" xfId="0" applyNumberFormat="1" applyFont="1" applyFill="1" applyBorder="1" applyAlignment="1">
      <alignment horizontal="center" vertical="center"/>
    </xf>
    <xf numFmtId="0" fontId="43" fillId="2" borderId="28" xfId="0" applyFont="1" applyFill="1" applyBorder="1" applyAlignment="1">
      <alignment vertical="center" wrapText="1"/>
    </xf>
    <xf numFmtId="164" fontId="42" fillId="2" borderId="27" xfId="0" applyNumberFormat="1" applyFont="1" applyFill="1" applyBorder="1"/>
    <xf numFmtId="164" fontId="20" fillId="2" borderId="8" xfId="0" applyNumberFormat="1" applyFont="1" applyFill="1" applyBorder="1" applyAlignment="1">
      <alignment horizontal="center" vertical="center" wrapText="1"/>
    </xf>
    <xf numFmtId="164" fontId="24" fillId="2" borderId="27" xfId="0" applyNumberFormat="1" applyFont="1" applyFill="1" applyBorder="1"/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left" textRotation="40" wrapText="1"/>
    </xf>
    <xf numFmtId="164" fontId="61" fillId="2" borderId="18" xfId="0" applyNumberFormat="1" applyFont="1" applyFill="1" applyBorder="1" applyAlignment="1">
      <alignment horizontal="right" vertical="center"/>
    </xf>
    <xf numFmtId="9" fontId="7" fillId="15" borderId="12" xfId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left" vertical="center"/>
    </xf>
    <xf numFmtId="2" fontId="0" fillId="0" borderId="0" xfId="0" applyNumberFormat="1"/>
    <xf numFmtId="41" fontId="7" fillId="6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left" vertical="center"/>
    </xf>
    <xf numFmtId="9" fontId="7" fillId="2" borderId="0" xfId="1" applyFont="1" applyFill="1" applyAlignment="1">
      <alignment horizontal="center" vertical="center"/>
    </xf>
    <xf numFmtId="9" fontId="7" fillId="2" borderId="0" xfId="1" applyFont="1" applyFill="1" applyAlignment="1">
      <alignment horizontal="right" vertical="center"/>
    </xf>
    <xf numFmtId="9" fontId="4" fillId="2" borderId="0" xfId="1" applyFont="1" applyFill="1" applyAlignment="1">
      <alignment horizontal="left" vertical="center" indent="1"/>
    </xf>
    <xf numFmtId="2" fontId="6" fillId="2" borderId="0" xfId="0" applyNumberFormat="1" applyFont="1" applyFill="1" applyAlignment="1">
      <alignment horizontal="left" textRotation="40"/>
    </xf>
    <xf numFmtId="2" fontId="6" fillId="2" borderId="0" xfId="0" applyNumberFormat="1" applyFont="1" applyFill="1" applyAlignment="1">
      <alignment horizontal="left" textRotation="42" wrapTex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23" fillId="0" borderId="0" xfId="2" applyAlignment="1">
      <alignment vertical="center"/>
    </xf>
    <xf numFmtId="0" fontId="66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70" fillId="0" borderId="0" xfId="0" applyFont="1" applyAlignment="1">
      <alignment horizontal="left"/>
    </xf>
    <xf numFmtId="0" fontId="70" fillId="0" borderId="0" xfId="0" applyFont="1"/>
    <xf numFmtId="0" fontId="71" fillId="0" borderId="0" xfId="0" applyFont="1" applyAlignment="1">
      <alignment horizontal="right"/>
    </xf>
    <xf numFmtId="0" fontId="71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1" fontId="71" fillId="0" borderId="0" xfId="0" applyNumberFormat="1" applyFont="1" applyAlignment="1">
      <alignment horizontal="left"/>
    </xf>
    <xf numFmtId="0" fontId="75" fillId="0" borderId="0" xfId="0" applyFont="1"/>
    <xf numFmtId="0" fontId="76" fillId="0" borderId="0" xfId="0" applyFont="1" applyAlignment="1">
      <alignment horizontal="right"/>
    </xf>
    <xf numFmtId="0" fontId="76" fillId="0" borderId="0" xfId="0" applyFont="1"/>
    <xf numFmtId="164" fontId="72" fillId="0" borderId="0" xfId="0" applyNumberFormat="1" applyFont="1" applyAlignment="1">
      <alignment horizontal="left"/>
    </xf>
    <xf numFmtId="0" fontId="71" fillId="0" borderId="0" xfId="0" applyFont="1"/>
    <xf numFmtId="0" fontId="79" fillId="0" borderId="0" xfId="0" applyFont="1"/>
    <xf numFmtId="0" fontId="80" fillId="0" borderId="32" xfId="0" applyFont="1" applyBorder="1"/>
    <xf numFmtId="0" fontId="70" fillId="0" borderId="0" xfId="0" applyFont="1" applyAlignment="1">
      <alignment vertical="center"/>
    </xf>
    <xf numFmtId="0" fontId="70" fillId="0" borderId="35" xfId="0" applyFont="1" applyBorder="1" applyAlignment="1">
      <alignment horizontal="right" vertical="center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0" fontId="84" fillId="0" borderId="0" xfId="0" applyFont="1" applyAlignment="1">
      <alignment horizontal="right"/>
    </xf>
    <xf numFmtId="1" fontId="70" fillId="0" borderId="0" xfId="0" applyNumberFormat="1" applyFont="1" applyAlignment="1">
      <alignment vertical="center"/>
    </xf>
    <xf numFmtId="0" fontId="70" fillId="0" borderId="0" xfId="0" applyFont="1" applyAlignment="1">
      <alignment horizontal="right" vertical="center"/>
    </xf>
    <xf numFmtId="0" fontId="70" fillId="0" borderId="31" xfId="0" applyFont="1" applyBorder="1" applyAlignment="1">
      <alignment vertical="center"/>
    </xf>
    <xf numFmtId="0" fontId="70" fillId="0" borderId="32" xfId="0" applyFont="1" applyBorder="1" applyAlignment="1">
      <alignment horizontal="right" vertical="center"/>
    </xf>
    <xf numFmtId="0" fontId="70" fillId="0" borderId="33" xfId="0" applyFont="1" applyBorder="1" applyAlignment="1">
      <alignment vertical="center"/>
    </xf>
    <xf numFmtId="0" fontId="70" fillId="0" borderId="34" xfId="0" applyFont="1" applyBorder="1" applyAlignment="1">
      <alignment vertical="center"/>
    </xf>
    <xf numFmtId="0" fontId="70" fillId="0" borderId="36" xfId="0" applyFont="1" applyBorder="1" applyAlignment="1">
      <alignment vertical="center"/>
    </xf>
    <xf numFmtId="0" fontId="70" fillId="0" borderId="0" xfId="0" applyFont="1" applyAlignment="1">
      <alignment horizontal="right"/>
    </xf>
    <xf numFmtId="0" fontId="80" fillId="0" borderId="0" xfId="0" applyFont="1"/>
    <xf numFmtId="167" fontId="71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70" fillId="0" borderId="35" xfId="0" applyFont="1" applyBorder="1"/>
    <xf numFmtId="164" fontId="76" fillId="0" borderId="0" xfId="0" applyNumberFormat="1" applyFont="1" applyAlignment="1">
      <alignment horizontal="right"/>
    </xf>
    <xf numFmtId="0" fontId="70" fillId="0" borderId="31" xfId="0" applyFont="1" applyBorder="1"/>
    <xf numFmtId="9" fontId="71" fillId="0" borderId="0" xfId="1" applyFont="1" applyBorder="1"/>
    <xf numFmtId="2" fontId="70" fillId="0" borderId="0" xfId="0" applyNumberFormat="1" applyFont="1"/>
    <xf numFmtId="0" fontId="76" fillId="0" borderId="35" xfId="0" applyFont="1" applyBorder="1"/>
    <xf numFmtId="0" fontId="76" fillId="0" borderId="35" xfId="0" applyFont="1" applyBorder="1" applyAlignment="1">
      <alignment horizontal="center"/>
    </xf>
    <xf numFmtId="0" fontId="85" fillId="0" borderId="8" xfId="0" applyFont="1" applyBorder="1"/>
    <xf numFmtId="0" fontId="84" fillId="0" borderId="0" xfId="0" applyFont="1"/>
    <xf numFmtId="164" fontId="85" fillId="0" borderId="0" xfId="0" applyNumberFormat="1" applyFont="1" applyAlignment="1">
      <alignment horizontal="right"/>
    </xf>
    <xf numFmtId="0" fontId="86" fillId="0" borderId="0" xfId="0" applyFont="1" applyAlignment="1">
      <alignment horizontal="left"/>
    </xf>
    <xf numFmtId="2" fontId="70" fillId="0" borderId="0" xfId="0" applyNumberFormat="1" applyFont="1" applyAlignment="1">
      <alignment horizontal="left"/>
    </xf>
    <xf numFmtId="0" fontId="76" fillId="0" borderId="32" xfId="0" applyFont="1" applyBorder="1"/>
    <xf numFmtId="0" fontId="76" fillId="0" borderId="32" xfId="0" applyFont="1" applyBorder="1" applyAlignment="1">
      <alignment horizontal="center"/>
    </xf>
    <xf numFmtId="1" fontId="70" fillId="0" borderId="32" xfId="1" applyNumberFormat="1" applyFont="1" applyBorder="1" applyAlignment="1">
      <alignment horizontal="right"/>
    </xf>
    <xf numFmtId="0" fontId="70" fillId="0" borderId="32" xfId="0" applyFont="1" applyBorder="1"/>
    <xf numFmtId="0" fontId="70" fillId="0" borderId="33" xfId="0" applyFont="1" applyBorder="1"/>
    <xf numFmtId="0" fontId="70" fillId="0" borderId="37" xfId="0" applyFont="1" applyBorder="1"/>
    <xf numFmtId="1" fontId="70" fillId="0" borderId="0" xfId="1" applyNumberFormat="1" applyFont="1" applyBorder="1" applyAlignment="1">
      <alignment horizontal="right"/>
    </xf>
    <xf numFmtId="0" fontId="70" fillId="0" borderId="0" xfId="0" applyFont="1" applyAlignment="1">
      <alignment horizontal="center"/>
    </xf>
    <xf numFmtId="0" fontId="70" fillId="0" borderId="11" xfId="0" applyFont="1" applyBorder="1"/>
    <xf numFmtId="0" fontId="70" fillId="0" borderId="35" xfId="0" applyFont="1" applyBorder="1" applyAlignment="1">
      <alignment horizontal="center"/>
    </xf>
    <xf numFmtId="0" fontId="70" fillId="0" borderId="36" xfId="0" applyFont="1" applyBorder="1"/>
    <xf numFmtId="1" fontId="70" fillId="0" borderId="35" xfId="1" applyNumberFormat="1" applyFont="1" applyBorder="1" applyAlignment="1">
      <alignment horizontal="right"/>
    </xf>
    <xf numFmtId="0" fontId="80" fillId="0" borderId="35" xfId="0" applyFont="1" applyBorder="1"/>
    <xf numFmtId="177" fontId="71" fillId="0" borderId="0" xfId="0" applyNumberFormat="1" applyFont="1" applyAlignment="1">
      <alignment horizontal="center"/>
    </xf>
    <xf numFmtId="0" fontId="87" fillId="0" borderId="0" xfId="0" applyFont="1"/>
    <xf numFmtId="0" fontId="71" fillId="0" borderId="0" xfId="0" applyFont="1" applyAlignment="1">
      <alignment horizontal="center"/>
    </xf>
    <xf numFmtId="167" fontId="70" fillId="0" borderId="0" xfId="0" applyNumberFormat="1" applyFont="1" applyAlignment="1">
      <alignment horizontal="center"/>
    </xf>
    <xf numFmtId="167" fontId="70" fillId="0" borderId="0" xfId="0" applyNumberFormat="1" applyFont="1" applyAlignment="1">
      <alignment horizontal="left"/>
    </xf>
    <xf numFmtId="167" fontId="70" fillId="0" borderId="0" xfId="0" applyNumberFormat="1" applyFont="1" applyAlignment="1">
      <alignment horizontal="right"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right"/>
    </xf>
    <xf numFmtId="0" fontId="70" fillId="0" borderId="0" xfId="0" applyFont="1" applyAlignment="1">
      <alignment horizontal="center" vertical="center"/>
    </xf>
    <xf numFmtId="2" fontId="70" fillId="0" borderId="0" xfId="0" applyNumberFormat="1" applyFont="1" applyAlignment="1">
      <alignment horizontal="left" vertical="center"/>
    </xf>
    <xf numFmtId="1" fontId="70" fillId="0" borderId="0" xfId="0" applyNumberFormat="1" applyFont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70" fillId="0" borderId="32" xfId="0" applyFont="1" applyBorder="1" applyAlignment="1">
      <alignment vertical="center"/>
    </xf>
    <xf numFmtId="167" fontId="70" fillId="0" borderId="32" xfId="0" applyNumberFormat="1" applyFont="1" applyBorder="1" applyAlignment="1">
      <alignment horizontal="right" vertical="center"/>
    </xf>
    <xf numFmtId="0" fontId="70" fillId="0" borderId="35" xfId="0" applyFont="1" applyBorder="1" applyAlignment="1">
      <alignment vertical="center"/>
    </xf>
    <xf numFmtId="167" fontId="70" fillId="0" borderId="35" xfId="0" applyNumberFormat="1" applyFont="1" applyBorder="1" applyAlignment="1">
      <alignment horizontal="right" vertical="center"/>
    </xf>
    <xf numFmtId="2" fontId="70" fillId="0" borderId="0" xfId="0" applyNumberFormat="1" applyFont="1" applyAlignment="1">
      <alignment horizontal="right"/>
    </xf>
    <xf numFmtId="0" fontId="89" fillId="0" borderId="0" xfId="0" applyFont="1"/>
    <xf numFmtId="9" fontId="70" fillId="0" borderId="0" xfId="1" applyFont="1" applyAlignment="1">
      <alignment horizontal="center"/>
    </xf>
    <xf numFmtId="9" fontId="70" fillId="0" borderId="0" xfId="0" applyNumberFormat="1" applyFont="1" applyAlignment="1">
      <alignment horizontal="center"/>
    </xf>
    <xf numFmtId="4" fontId="70" fillId="0" borderId="0" xfId="0" applyNumberFormat="1" applyFont="1" applyAlignment="1">
      <alignment horizontal="right"/>
    </xf>
    <xf numFmtId="164" fontId="70" fillId="0" borderId="0" xfId="0" applyNumberFormat="1" applyFont="1" applyAlignment="1">
      <alignment horizontal="center"/>
    </xf>
    <xf numFmtId="1" fontId="70" fillId="0" borderId="0" xfId="0" applyNumberFormat="1" applyFont="1" applyAlignment="1">
      <alignment horizontal="right"/>
    </xf>
    <xf numFmtId="2" fontId="19" fillId="14" borderId="0" xfId="0" applyNumberFormat="1" applyFont="1" applyFill="1" applyAlignment="1">
      <alignment horizontal="center" vertical="center" textRotation="90" wrapText="1"/>
    </xf>
    <xf numFmtId="0" fontId="91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7" borderId="0" xfId="0" applyNumberFormat="1" applyFont="1" applyFill="1" applyAlignment="1">
      <alignment horizontal="center" wrapText="1"/>
    </xf>
    <xf numFmtId="49" fontId="7" fillId="9" borderId="0" xfId="0" applyNumberFormat="1" applyFont="1" applyFill="1" applyAlignment="1">
      <alignment horizontal="center" vertical="center" wrapText="1"/>
    </xf>
    <xf numFmtId="0" fontId="23" fillId="9" borderId="0" xfId="2" applyFill="1" applyAlignment="1">
      <alignment horizontal="center" vertical="center" wrapText="1"/>
    </xf>
    <xf numFmtId="0" fontId="4" fillId="16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22" fillId="9" borderId="0" xfId="0" applyFont="1" applyFill="1" applyAlignment="1">
      <alignment horizontal="center" vertical="center" wrapText="1"/>
    </xf>
    <xf numFmtId="49" fontId="7" fillId="7" borderId="0" xfId="0" applyNumberFormat="1" applyFont="1" applyFill="1" applyAlignment="1">
      <alignment horizontal="center" vertical="center" wrapText="1"/>
    </xf>
    <xf numFmtId="49" fontId="17" fillId="7" borderId="0" xfId="0" applyNumberFormat="1" applyFont="1" applyFill="1" applyAlignment="1">
      <alignment horizontal="center"/>
    </xf>
    <xf numFmtId="49" fontId="4" fillId="16" borderId="0" xfId="0" applyNumberFormat="1" applyFont="1" applyFill="1" applyAlignment="1">
      <alignment horizontal="left" vertical="center" indent="1"/>
    </xf>
    <xf numFmtId="0" fontId="79" fillId="0" borderId="0" xfId="0" applyFont="1" applyAlignment="1">
      <alignment horizontal="left"/>
    </xf>
    <xf numFmtId="49" fontId="90" fillId="0" borderId="0" xfId="0" applyNumberFormat="1" applyFont="1" applyAlignment="1">
      <alignment vertical="center"/>
    </xf>
    <xf numFmtId="49" fontId="77" fillId="0" borderId="0" xfId="0" applyNumberFormat="1" applyFont="1"/>
    <xf numFmtId="49" fontId="78" fillId="0" borderId="0" xfId="0" applyNumberFormat="1" applyFont="1" applyAlignment="1">
      <alignment horizontal="left"/>
    </xf>
    <xf numFmtId="49" fontId="79" fillId="0" borderId="0" xfId="0" applyNumberFormat="1" applyFont="1" applyAlignment="1">
      <alignment horizontal="right"/>
    </xf>
    <xf numFmtId="49" fontId="70" fillId="0" borderId="0" xfId="0" applyNumberFormat="1" applyFont="1"/>
    <xf numFmtId="49" fontId="71" fillId="0" borderId="0" xfId="0" applyNumberFormat="1" applyFont="1" applyAlignment="1">
      <alignment horizontal="center"/>
    </xf>
    <xf numFmtId="49" fontId="80" fillId="0" borderId="0" xfId="0" applyNumberFormat="1" applyFont="1" applyAlignment="1">
      <alignment horizontal="left"/>
    </xf>
    <xf numFmtId="49" fontId="70" fillId="0" borderId="0" xfId="0" applyNumberFormat="1" applyFont="1" applyAlignment="1">
      <alignment vertical="center"/>
    </xf>
    <xf numFmtId="49" fontId="82" fillId="0" borderId="0" xfId="0" applyNumberFormat="1" applyFont="1" applyAlignment="1">
      <alignment horizontal="right" vertical="center"/>
    </xf>
    <xf numFmtId="49" fontId="82" fillId="0" borderId="0" xfId="0" applyNumberFormat="1" applyFont="1" applyAlignment="1">
      <alignment horizontal="left" vertical="center"/>
    </xf>
    <xf numFmtId="49" fontId="83" fillId="21" borderId="0" xfId="0" applyNumberFormat="1" applyFont="1" applyFill="1" applyAlignment="1">
      <alignment horizontal="center"/>
    </xf>
    <xf numFmtId="0" fontId="72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79" fillId="0" borderId="0" xfId="0" applyFont="1" applyAlignment="1">
      <alignment horizontal="right"/>
    </xf>
    <xf numFmtId="0" fontId="81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7" borderId="0" xfId="0" applyFont="1" applyFill="1" applyAlignment="1">
      <alignment vertical="center" wrapText="1"/>
    </xf>
    <xf numFmtId="164" fontId="12" fillId="7" borderId="0" xfId="0" applyNumberFormat="1" applyFont="1" applyFill="1" applyAlignment="1">
      <alignment horizontal="center"/>
    </xf>
    <xf numFmtId="0" fontId="92" fillId="9" borderId="0" xfId="2" applyFont="1" applyFill="1" applyAlignment="1">
      <alignment vertical="center" wrapText="1"/>
    </xf>
    <xf numFmtId="0" fontId="92" fillId="9" borderId="0" xfId="2" applyFont="1" applyFill="1"/>
    <xf numFmtId="0" fontId="93" fillId="9" borderId="0" xfId="2" applyFont="1" applyFill="1" applyAlignment="1">
      <alignment vertical="center" wrapText="1"/>
    </xf>
    <xf numFmtId="0" fontId="83" fillId="0" borderId="0" xfId="0" applyFont="1" applyAlignment="1">
      <alignment horizontal="left"/>
    </xf>
    <xf numFmtId="0" fontId="94" fillId="0" borderId="0" xfId="0" applyFont="1" applyAlignment="1">
      <alignment horizontal="left"/>
    </xf>
    <xf numFmtId="2" fontId="72" fillId="0" borderId="0" xfId="0" applyNumberFormat="1" applyFont="1" applyAlignment="1">
      <alignment horizontal="left"/>
    </xf>
    <xf numFmtId="1" fontId="72" fillId="0" borderId="0" xfId="0" applyNumberFormat="1" applyFont="1" applyAlignment="1">
      <alignment horizontal="right"/>
    </xf>
    <xf numFmtId="169" fontId="70" fillId="0" borderId="0" xfId="0" applyNumberFormat="1" applyFont="1" applyAlignment="1">
      <alignment horizontal="right"/>
    </xf>
    <xf numFmtId="3" fontId="70" fillId="0" borderId="0" xfId="0" applyNumberFormat="1" applyFont="1" applyAlignment="1">
      <alignment horizontal="right"/>
    </xf>
    <xf numFmtId="4" fontId="70" fillId="0" borderId="0" xfId="0" applyNumberFormat="1" applyFont="1" applyAlignment="1">
      <alignment horizontal="left"/>
    </xf>
    <xf numFmtId="0" fontId="67" fillId="0" borderId="0" xfId="0" applyFont="1"/>
    <xf numFmtId="169" fontId="71" fillId="0" borderId="0" xfId="0" applyNumberFormat="1" applyFont="1" applyAlignment="1">
      <alignment horizontal="right"/>
    </xf>
    <xf numFmtId="164" fontId="71" fillId="0" borderId="0" xfId="0" applyNumberFormat="1" applyFont="1" applyAlignment="1">
      <alignment horizontal="right"/>
    </xf>
    <xf numFmtId="3" fontId="70" fillId="0" borderId="0" xfId="0" applyNumberFormat="1" applyFont="1" applyAlignment="1">
      <alignment horizontal="left"/>
    </xf>
    <xf numFmtId="0" fontId="76" fillId="0" borderId="35" xfId="0" applyFont="1" applyBorder="1" applyAlignment="1">
      <alignment horizontal="right"/>
    </xf>
    <xf numFmtId="0" fontId="80" fillId="0" borderId="0" xfId="0" applyFont="1" applyAlignment="1">
      <alignment horizontal="right"/>
    </xf>
    <xf numFmtId="0" fontId="75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1" fontId="75" fillId="0" borderId="0" xfId="0" applyNumberFormat="1" applyFont="1" applyAlignment="1">
      <alignment horizontal="left"/>
    </xf>
    <xf numFmtId="0" fontId="75" fillId="0" borderId="0" xfId="0" applyFont="1" applyAlignment="1">
      <alignment horizontal="center" wrapText="1"/>
    </xf>
    <xf numFmtId="0" fontId="75" fillId="0" borderId="38" xfId="0" applyFont="1" applyBorder="1"/>
    <xf numFmtId="0" fontId="75" fillId="0" borderId="19" xfId="0" applyFont="1" applyBorder="1"/>
    <xf numFmtId="0" fontId="77" fillId="0" borderId="0" xfId="0" applyFont="1" applyAlignment="1">
      <alignment horizontal="left"/>
    </xf>
    <xf numFmtId="0" fontId="77" fillId="0" borderId="0" xfId="0" applyFont="1"/>
    <xf numFmtId="0" fontId="77" fillId="0" borderId="8" xfId="0" applyFont="1" applyBorder="1" applyAlignment="1">
      <alignment horizontal="left"/>
    </xf>
    <xf numFmtId="0" fontId="77" fillId="0" borderId="27" xfId="0" applyFont="1" applyBorder="1" applyAlignment="1">
      <alignment horizontal="left"/>
    </xf>
    <xf numFmtId="0" fontId="77" fillId="0" borderId="28" xfId="0" applyFont="1" applyBorder="1" applyAlignment="1">
      <alignment horizontal="left"/>
    </xf>
    <xf numFmtId="0" fontId="77" fillId="0" borderId="8" xfId="0" applyFont="1" applyBorder="1"/>
    <xf numFmtId="0" fontId="77" fillId="0" borderId="27" xfId="0" applyFont="1" applyBorder="1"/>
    <xf numFmtId="0" fontId="77" fillId="0" borderId="28" xfId="0" applyFont="1" applyBorder="1"/>
    <xf numFmtId="0" fontId="70" fillId="0" borderId="31" xfId="0" applyFont="1" applyBorder="1" applyAlignment="1">
      <alignment horizontal="left"/>
    </xf>
    <xf numFmtId="0" fontId="89" fillId="0" borderId="32" xfId="0" applyFont="1" applyBorder="1"/>
    <xf numFmtId="0" fontId="89" fillId="0" borderId="33" xfId="0" applyFont="1" applyBorder="1"/>
    <xf numFmtId="164" fontId="70" fillId="0" borderId="34" xfId="0" applyNumberFormat="1" applyFont="1" applyBorder="1"/>
    <xf numFmtId="0" fontId="89" fillId="0" borderId="35" xfId="0" applyFont="1" applyBorder="1"/>
    <xf numFmtId="0" fontId="89" fillId="0" borderId="36" xfId="0" applyFont="1" applyBorder="1"/>
    <xf numFmtId="0" fontId="7" fillId="9" borderId="0" xfId="2" applyFont="1" applyFill="1" applyAlignment="1">
      <alignment vertical="center" wrapText="1"/>
    </xf>
    <xf numFmtId="49" fontId="76" fillId="0" borderId="0" xfId="0" applyNumberFormat="1" applyFont="1"/>
    <xf numFmtId="49" fontId="76" fillId="0" borderId="0" xfId="0" applyNumberFormat="1" applyFont="1" applyAlignment="1">
      <alignment horizontal="right"/>
    </xf>
    <xf numFmtId="2" fontId="71" fillId="0" borderId="0" xfId="0" applyNumberFormat="1" applyFont="1" applyAlignment="1">
      <alignment horizontal="right"/>
    </xf>
    <xf numFmtId="2" fontId="71" fillId="0" borderId="0" xfId="0" applyNumberFormat="1" applyFont="1"/>
    <xf numFmtId="0" fontId="65" fillId="0" borderId="0" xfId="0" applyFont="1" applyAlignment="1">
      <alignment vertical="center" wrapText="1"/>
    </xf>
    <xf numFmtId="49" fontId="77" fillId="0" borderId="0" xfId="0" applyNumberFormat="1" applyFont="1" applyAlignment="1">
      <alignment vertical="center"/>
    </xf>
    <xf numFmtId="49" fontId="77" fillId="0" borderId="0" xfId="0" applyNumberFormat="1" applyFont="1" applyAlignment="1">
      <alignment horizontal="right" vertical="center"/>
    </xf>
    <xf numFmtId="2" fontId="96" fillId="0" borderId="0" xfId="0" applyNumberFormat="1" applyFont="1" applyAlignment="1">
      <alignment horizontal="left" vertical="center"/>
    </xf>
    <xf numFmtId="0" fontId="70" fillId="0" borderId="37" xfId="0" applyFont="1" applyBorder="1" applyAlignment="1">
      <alignment horizontal="left"/>
    </xf>
    <xf numFmtId="0" fontId="89" fillId="0" borderId="11" xfId="0" applyFont="1" applyBorder="1"/>
    <xf numFmtId="0" fontId="97" fillId="0" borderId="0" xfId="0" applyFont="1" applyAlignment="1">
      <alignment horizontal="left"/>
    </xf>
    <xf numFmtId="0" fontId="85" fillId="0" borderId="0" xfId="0" applyFont="1" applyAlignment="1">
      <alignment horizontal="right"/>
    </xf>
    <xf numFmtId="0" fontId="85" fillId="0" borderId="0" xfId="0" applyFont="1" applyAlignment="1">
      <alignment horizontal="center"/>
    </xf>
    <xf numFmtId="4" fontId="7" fillId="2" borderId="0" xfId="0" applyNumberFormat="1" applyFont="1" applyFill="1" applyAlignment="1">
      <alignment horizontal="center" vertical="center" wrapText="1"/>
    </xf>
    <xf numFmtId="164" fontId="61" fillId="2" borderId="0" xfId="0" applyNumberFormat="1" applyFont="1" applyFill="1" applyAlignment="1">
      <alignment horizontal="right" vertical="center"/>
    </xf>
    <xf numFmtId="167" fontId="76" fillId="0" borderId="0" xfId="0" applyNumberFormat="1" applyFont="1" applyAlignment="1">
      <alignment horizontal="right"/>
    </xf>
    <xf numFmtId="1" fontId="76" fillId="0" borderId="0" xfId="1" applyNumberFormat="1" applyFont="1" applyAlignment="1">
      <alignment horizontal="right"/>
    </xf>
    <xf numFmtId="9" fontId="71" fillId="0" borderId="7" xfId="1" applyFont="1" applyBorder="1"/>
    <xf numFmtId="0" fontId="77" fillId="0" borderId="0" xfId="0" applyFont="1" applyAlignment="1">
      <alignment horizontal="right"/>
    </xf>
    <xf numFmtId="0" fontId="77" fillId="0" borderId="0" xfId="0" applyFont="1" applyAlignment="1">
      <alignment horizontal="center"/>
    </xf>
    <xf numFmtId="1" fontId="77" fillId="0" borderId="0" xfId="0" applyNumberFormat="1" applyFont="1" applyAlignment="1">
      <alignment horizontal="left"/>
    </xf>
    <xf numFmtId="0" fontId="71" fillId="0" borderId="0" xfId="0" applyFont="1" applyAlignment="1">
      <alignment horizontal="center" wrapText="1"/>
    </xf>
    <xf numFmtId="0" fontId="98" fillId="0" borderId="0" xfId="0" applyFont="1" applyAlignment="1">
      <alignment vertical="center"/>
    </xf>
    <xf numFmtId="0" fontId="99" fillId="0" borderId="0" xfId="0" applyFont="1"/>
    <xf numFmtId="2" fontId="100" fillId="0" borderId="0" xfId="0" applyNumberFormat="1" applyFont="1" applyAlignment="1">
      <alignment horizontal="center" wrapText="1"/>
    </xf>
    <xf numFmtId="2" fontId="22" fillId="16" borderId="0" xfId="0" applyNumberFormat="1" applyFont="1" applyFill="1" applyAlignment="1">
      <alignment horizontal="center" vertical="center"/>
    </xf>
    <xf numFmtId="2" fontId="0" fillId="9" borderId="0" xfId="0" applyNumberFormat="1" applyFill="1" applyAlignment="1">
      <alignment horizontal="center"/>
    </xf>
    <xf numFmtId="2" fontId="101" fillId="0" borderId="17" xfId="0" applyNumberFormat="1" applyFont="1" applyBorder="1" applyAlignment="1">
      <alignment horizontal="right"/>
    </xf>
    <xf numFmtId="2" fontId="72" fillId="0" borderId="7" xfId="0" applyNumberFormat="1" applyFont="1" applyBorder="1" applyAlignment="1">
      <alignment horizontal="right"/>
    </xf>
    <xf numFmtId="0" fontId="65" fillId="0" borderId="13" xfId="0" applyFont="1" applyBorder="1" applyAlignment="1">
      <alignment vertical="center"/>
    </xf>
    <xf numFmtId="0" fontId="0" fillId="0" borderId="14" xfId="0" applyBorder="1"/>
    <xf numFmtId="0" fontId="76" fillId="0" borderId="14" xfId="0" applyFont="1" applyBorder="1"/>
    <xf numFmtId="0" fontId="76" fillId="0" borderId="14" xfId="0" applyFont="1" applyBorder="1" applyAlignment="1">
      <alignment horizontal="right"/>
    </xf>
    <xf numFmtId="0" fontId="76" fillId="0" borderId="16" xfId="0" applyFont="1" applyBorder="1"/>
    <xf numFmtId="0" fontId="77" fillId="0" borderId="15" xfId="0" applyFont="1" applyBorder="1" applyAlignment="1">
      <alignment horizontal="left" vertical="center"/>
    </xf>
    <xf numFmtId="49" fontId="95" fillId="0" borderId="0" xfId="0" applyNumberFormat="1" applyFont="1" applyAlignment="1">
      <alignment horizontal="left" vertical="center"/>
    </xf>
    <xf numFmtId="49" fontId="77" fillId="0" borderId="12" xfId="0" applyNumberFormat="1" applyFont="1" applyBorder="1" applyAlignment="1">
      <alignment vertical="center"/>
    </xf>
    <xf numFmtId="0" fontId="65" fillId="0" borderId="25" xfId="0" applyFont="1" applyBorder="1" applyAlignment="1">
      <alignment vertical="center"/>
    </xf>
    <xf numFmtId="0" fontId="65" fillId="0" borderId="2" xfId="0" applyFont="1" applyBorder="1" applyAlignment="1">
      <alignment vertical="center" wrapText="1"/>
    </xf>
    <xf numFmtId="0" fontId="65" fillId="0" borderId="26" xfId="0" applyFont="1" applyBorder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</cellXfs>
  <cellStyles count="3">
    <cellStyle name="Hyperkobling" xfId="2" builtinId="8" customBuiltin="1"/>
    <cellStyle name="Normal" xfId="0" builtinId="0"/>
    <cellStyle name="Prosent" xfId="1" builtinId="5"/>
  </cellStyles>
  <dxfs count="0"/>
  <tableStyles count="0" defaultTableStyle="TableStyleMedium2" defaultPivotStyle="PivotStyleLight16"/>
  <colors>
    <mruColors>
      <color rgb="FFD7E4BD"/>
      <color rgb="FFE6B9B8"/>
      <color rgb="FFCCC1DA"/>
      <color rgb="FFB9CDE5"/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Database!$ES$94:$FK$94</c:f>
              <c:strCache>
                <c:ptCount val="19"/>
                <c:pt idx="0">
                  <c:v>1,944</c:v>
                </c:pt>
                <c:pt idx="1">
                  <c:v>3,732</c:v>
                </c:pt>
                <c:pt idx="2">
                  <c:v>1,012</c:v>
                </c:pt>
                <c:pt idx="3">
                  <c:v>1,612</c:v>
                </c:pt>
                <c:pt idx="4">
                  <c:v>0,903</c:v>
                </c:pt>
                <c:pt idx="5">
                  <c:v>-</c:v>
                </c:pt>
                <c:pt idx="6">
                  <c:v>3,825</c:v>
                </c:pt>
                <c:pt idx="7">
                  <c:v>3,732</c:v>
                </c:pt>
                <c:pt idx="8">
                  <c:v>1,025</c:v>
                </c:pt>
                <c:pt idx="9">
                  <c:v>0,906</c:v>
                </c:pt>
                <c:pt idx="10">
                  <c:v>0,905</c:v>
                </c:pt>
                <c:pt idx="11">
                  <c:v>-</c:v>
                </c:pt>
                <c:pt idx="12">
                  <c:v>6,020</c:v>
                </c:pt>
                <c:pt idx="13">
                  <c:v>3,732</c:v>
                </c:pt>
                <c:pt idx="14">
                  <c:v>0,866</c:v>
                </c:pt>
                <c:pt idx="15">
                  <c:v>1,922</c:v>
                </c:pt>
                <c:pt idx="16">
                  <c:v>1,565</c:v>
                </c:pt>
                <c:pt idx="17">
                  <c:v>0,909</c:v>
                </c:pt>
                <c:pt idx="18">
                  <c:v>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Database!$FL$66:$FZ$93</c:f>
              <c:multiLvlStrCache>
                <c:ptCount val="11"/>
                <c:lvl>
                  <c:pt idx="0">
                    <c:v>1,18</c:v>
                  </c:pt>
                  <c:pt idx="1">
                    <c:v>1,00</c:v>
                  </c:pt>
                  <c:pt idx="2">
                    <c:v>-</c:v>
                  </c:pt>
                  <c:pt idx="3">
                    <c:v>S 546</c:v>
                  </c:pt>
                  <c:pt idx="4">
                    <c:v>Wulf Fiedler</c:v>
                  </c:pt>
                  <c:pt idx="5">
                    <c:v>.+4915117436128</c:v>
                  </c:pt>
                  <c:pt idx="6">
                    <c:v>wulf.fiedler@yartberlin.de</c:v>
                  </c:pt>
                  <c:pt idx="9">
                    <c:v>Tyskland</c:v>
                  </c:pt>
                  <c:pt idx="10">
                    <c:v>.-</c:v>
                  </c:pt>
                </c:lvl>
                <c:lvl>
                  <c:pt idx="1">
                    <c:v>1,00</c:v>
                  </c:pt>
                  <c:pt idx="2">
                    <c:v>-</c:v>
                  </c:pt>
                </c:lvl>
                <c:lvl>
                  <c:pt idx="1">
                    <c:v>1,00</c:v>
                  </c:pt>
                  <c:pt idx="2">
                    <c:v>-</c:v>
                  </c:pt>
                </c:lvl>
                <c:lvl>
                  <c:pt idx="0">
                    <c:v>1,37</c:v>
                  </c:pt>
                  <c:pt idx="1">
                    <c:v>1,00</c:v>
                  </c:pt>
                  <c:pt idx="2">
                    <c:v>-</c:v>
                  </c:pt>
                  <c:pt idx="3">
                    <c:v>N 1</c:v>
                  </c:pt>
                  <c:pt idx="4">
                    <c:v>Stein Victor Svendsen</c:v>
                  </c:pt>
                  <c:pt idx="5">
                    <c:v>99462220</c:v>
                  </c:pt>
                  <c:pt idx="6">
                    <c:v>steinvictorsvendsen@outlook.com</c:v>
                  </c:pt>
                  <c:pt idx="7">
                    <c:v>Huk Aveny 63 B</c:v>
                  </c:pt>
                  <c:pt idx="8">
                    <c:v>0287 Oslo</c:v>
                  </c:pt>
                  <c:pt idx="9">
                    <c:v>Norge</c:v>
                  </c:pt>
                  <c:pt idx="10">
                    <c:v>KNS</c:v>
                  </c:pt>
                </c:lvl>
                <c:lvl>
                  <c:pt idx="1">
                    <c:v>1,00</c:v>
                  </c:pt>
                  <c:pt idx="2">
                    <c:v>-</c:v>
                  </c:pt>
                </c:lvl>
                <c:lvl>
                  <c:pt idx="1">
                    <c:v>1,00</c:v>
                  </c:pt>
                  <c:pt idx="2">
                    <c:v>-</c:v>
                  </c:pt>
                </c:lvl>
                <c:lvl>
                  <c:pt idx="0">
                    <c:v>1,40</c:v>
                  </c:pt>
                  <c:pt idx="1">
                    <c:v>1,00</c:v>
                  </c:pt>
                  <c:pt idx="2">
                    <c:v>-</c:v>
                  </c:pt>
                  <c:pt idx="3">
                    <c:v>G 15</c:v>
                  </c:pt>
                  <c:pt idx="4">
                    <c:v>Jan Erik Haavi</c:v>
                  </c:pt>
                  <c:pt idx="5">
                    <c:v>91124325</c:v>
                  </c:pt>
                  <c:pt idx="6">
                    <c:v>j.haavi@online.no</c:v>
                  </c:pt>
                  <c:pt idx="7">
                    <c:v>Levreveien 16</c:v>
                  </c:pt>
                  <c:pt idx="8">
                    <c:v>1346 Gjettum</c:v>
                  </c:pt>
                  <c:pt idx="9">
                    <c:v>Norge</c:v>
                  </c:pt>
                  <c:pt idx="10">
                    <c:v>.-</c:v>
                  </c:pt>
                </c:lvl>
                <c:lvl>
                  <c:pt idx="1">
                    <c:v>1,00</c:v>
                  </c:pt>
                  <c:pt idx="2">
                    <c:v>-</c:v>
                  </c:pt>
                </c:lvl>
                <c:lvl>
                  <c:pt idx="1">
                    <c:v>1,00</c:v>
                  </c:pt>
                  <c:pt idx="2">
                    <c:v>1,39</c:v>
                  </c:pt>
                </c:lvl>
                <c:lvl>
                  <c:pt idx="0">
                    <c:v>1,38</c:v>
                  </c:pt>
                  <c:pt idx="1">
                    <c:v>1,00</c:v>
                  </c:pt>
                  <c:pt idx="2">
                    <c:v>-</c:v>
                  </c:pt>
                  <c:pt idx="3">
                    <c:v>69</c:v>
                  </c:pt>
                  <c:pt idx="4">
                    <c:v>Christian Scheidtmann</c:v>
                  </c:pt>
                  <c:pt idx="5">
                    <c:v>.+49 177 320 4677</c:v>
                  </c:pt>
                  <c:pt idx="6">
                    <c:v>Chr.Scheidtmann@googlemail.com</c:v>
                  </c:pt>
                  <c:pt idx="7">
                    <c:v>.-</c:v>
                  </c:pt>
                  <c:pt idx="8">
                    <c:v>.-</c:v>
                  </c:pt>
                  <c:pt idx="9">
                    <c:v>Tyskland</c:v>
                  </c:pt>
                  <c:pt idx="10">
                    <c:v>.-</c:v>
                  </c:pt>
                </c:lvl>
                <c:lvl>
                  <c:pt idx="1">
                    <c:v>0,95</c:v>
                  </c:pt>
                  <c:pt idx="2">
                    <c:v>-</c:v>
                  </c:pt>
                </c:lvl>
                <c:lvl>
                  <c:pt idx="0">
                    <c:v>1,02</c:v>
                  </c:pt>
                  <c:pt idx="1">
                    <c:v>0,95</c:v>
                  </c:pt>
                  <c:pt idx="2">
                    <c:v>1,00</c:v>
                  </c:pt>
                </c:lvl>
                <c:lvl>
                  <c:pt idx="0">
                    <c:v>0,88</c:v>
                  </c:pt>
                  <c:pt idx="1">
                    <c:v>0,95</c:v>
                  </c:pt>
                  <c:pt idx="2">
                    <c:v>1,05</c:v>
                  </c:pt>
                </c:lvl>
                <c:lvl>
                  <c:pt idx="0">
                    <c:v>0,82</c:v>
                  </c:pt>
                  <c:pt idx="1">
                    <c:v>0,95</c:v>
                  </c:pt>
                  <c:pt idx="2">
                    <c:v>1,08</c:v>
                  </c:pt>
                </c:lvl>
                <c:lvl>
                  <c:pt idx="0">
                    <c:v>1,02</c:v>
                  </c:pt>
                  <c:pt idx="1">
                    <c:v>0,95</c:v>
                  </c:pt>
                  <c:pt idx="2">
                    <c:v>-</c:v>
                  </c:pt>
                  <c:pt idx="3">
                    <c:v>4</c:v>
                  </c:pt>
                  <c:pt idx="4">
                    <c:v>Gabriel Lund</c:v>
                  </c:pt>
                  <c:pt idx="5">
                    <c:v>911 46 767</c:v>
                  </c:pt>
                  <c:pt idx="7">
                    <c:v>Fjordgløtt 19</c:v>
                  </c:pt>
                  <c:pt idx="8">
                    <c:v>1516 Jeløy</c:v>
                  </c:pt>
                  <c:pt idx="9">
                    <c:v>Norge</c:v>
                  </c:pt>
                  <c:pt idx="10">
                    <c:v>?</c:v>
                  </c:pt>
                </c:lvl>
                <c:lvl>
                  <c:pt idx="1">
                    <c:v>1,00</c:v>
                  </c:pt>
                  <c:pt idx="2">
                    <c:v>1,14</c:v>
                  </c:pt>
                </c:lvl>
                <c:lvl>
                  <c:pt idx="0">
                    <c:v>1,19</c:v>
                  </c:pt>
                  <c:pt idx="1">
                    <c:v>1,00</c:v>
                  </c:pt>
                  <c:pt idx="2">
                    <c:v>-</c:v>
                  </c:pt>
                  <c:pt idx="3">
                    <c:v>F - G 21</c:v>
                  </c:pt>
                  <c:pt idx="4">
                    <c:v>Timo Lantzsch</c:v>
                  </c:pt>
                  <c:pt idx="5">
                    <c:v>.+49 15751613819</c:v>
                  </c:pt>
                  <c:pt idx="6">
                    <c:v>timoholzbootsbau@lantzsch.de</c:v>
                  </c:pt>
                  <c:pt idx="7">
                    <c:v>Huholzweg 56</c:v>
                  </c:pt>
                  <c:pt idx="8">
                    <c:v>24376 Koppeln</c:v>
                  </c:pt>
                  <c:pt idx="9">
                    <c:v>Tyskland</c:v>
                  </c:pt>
                  <c:pt idx="10">
                    <c:v>FKY</c:v>
                  </c:pt>
                </c:lvl>
                <c:lvl>
                  <c:pt idx="1">
                    <c:v>1,00</c:v>
                  </c:pt>
                  <c:pt idx="2">
                    <c:v>0,00</c:v>
                  </c:pt>
                </c:lvl>
                <c:lvl>
                  <c:pt idx="0">
                    <c:v>1,27</c:v>
                  </c:pt>
                  <c:pt idx="1">
                    <c:v>1,00</c:v>
                  </c:pt>
                  <c:pt idx="2">
                    <c:v>-</c:v>
                  </c:pt>
                  <c:pt idx="3">
                    <c:v>N 54</c:v>
                  </c:pt>
                  <c:pt idx="4">
                    <c:v>Knut Halland</c:v>
                  </c:pt>
                  <c:pt idx="5">
                    <c:v>90281474</c:v>
                  </c:pt>
                  <c:pt idx="6">
                    <c:v>.-</c:v>
                  </c:pt>
                  <c:pt idx="7">
                    <c:v>adr</c:v>
                  </c:pt>
                  <c:pt idx="8">
                    <c:v>1515 Son</c:v>
                  </c:pt>
                  <c:pt idx="9">
                    <c:v>Norge</c:v>
                  </c:pt>
                  <c:pt idx="10">
                    <c:v>Soon SF</c:v>
                  </c:pt>
                </c:lvl>
                <c:lvl>
                  <c:pt idx="1">
                    <c:v>1,00</c:v>
                  </c:pt>
                  <c:pt idx="2">
                    <c:v>-</c:v>
                  </c:pt>
                </c:lvl>
                <c:lvl>
                  <c:pt idx="1">
                    <c:v>1,00</c:v>
                  </c:pt>
                  <c:pt idx="2">
                    <c:v>-</c:v>
                  </c:pt>
                </c:lvl>
                <c:lvl>
                  <c:pt idx="0">
                    <c:v>1,47</c:v>
                  </c:pt>
                  <c:pt idx="1">
                    <c:v>1,00</c:v>
                  </c:pt>
                  <c:pt idx="2">
                    <c:v>-</c:v>
                  </c:pt>
                  <c:pt idx="3">
                    <c:v>E 1</c:v>
                  </c:pt>
                  <c:pt idx="4">
                    <c:v>Andreas Krause</c:v>
                  </c:pt>
                  <c:pt idx="5">
                    <c:v>.+49 172 4526 168</c:v>
                  </c:pt>
                  <c:pt idx="6">
                    <c:v>krause@trivia.de</c:v>
                  </c:pt>
                  <c:pt idx="7">
                    <c:v>.-</c:v>
                  </c:pt>
                  <c:pt idx="8">
                    <c:v>Kiel</c:v>
                  </c:pt>
                  <c:pt idx="9">
                    <c:v>Tyskland</c:v>
                  </c:pt>
                  <c:pt idx="10">
                    <c:v>WSG Sieseby</c:v>
                  </c:pt>
                </c:lvl>
                <c:lvl>
                  <c:pt idx="1">
                    <c:v>1,00</c:v>
                  </c:pt>
                  <c:pt idx="2">
                    <c:v>1,57</c:v>
                  </c:pt>
                </c:lvl>
                <c:lvl>
                  <c:pt idx="1">
                    <c:v>1,00</c:v>
                  </c:pt>
                  <c:pt idx="2">
                    <c:v>1,63</c:v>
                  </c:pt>
                </c:lvl>
                <c:lvl>
                  <c:pt idx="0">
                    <c:v>1,62</c:v>
                  </c:pt>
                  <c:pt idx="1">
                    <c:v>1,00</c:v>
                  </c:pt>
                  <c:pt idx="2">
                    <c:v>-</c:v>
                  </c:pt>
                  <c:pt idx="3">
                    <c:v>12 - G 2</c:v>
                  </c:pt>
                  <c:pt idx="4">
                    <c:v>Dr. Berhard Frieling</c:v>
                  </c:pt>
                  <c:pt idx="5">
                    <c:v>.+49 1715390152</c:v>
                  </c:pt>
                  <c:pt idx="6">
                    <c:v>Bernard.Frieling@t-online.de</c:v>
                  </c:pt>
                  <c:pt idx="7">
                    <c:v>Address</c:v>
                  </c:pt>
                  <c:pt idx="9">
                    <c:v>Norge</c:v>
                  </c:pt>
                  <c:pt idx="10">
                    <c:v>Sail club</c:v>
                  </c:pt>
                </c:lvl>
                <c:lvl>
                  <c:pt idx="1">
                    <c:v>1,00</c:v>
                  </c:pt>
                  <c:pt idx="2">
                    <c:v>1,45</c:v>
                  </c:pt>
                </c:lvl>
                <c:lvl>
                  <c:pt idx="1">
                    <c:v>1,00</c:v>
                  </c:pt>
                  <c:pt idx="2">
                    <c:v>1,53</c:v>
                  </c:pt>
                </c:lvl>
                <c:lvl>
                  <c:pt idx="0">
                    <c:v>1,66</c:v>
                  </c:pt>
                  <c:pt idx="1">
                    <c:v>1,00</c:v>
                  </c:pt>
                  <c:pt idx="2">
                    <c:v>-</c:v>
                  </c:pt>
                  <c:pt idx="3">
                    <c:v>NOR 3</c:v>
                  </c:pt>
                  <c:pt idx="4">
                    <c:v>Jens Gran</c:v>
                  </c:pt>
                  <c:pt idx="5">
                    <c:v>95034537</c:v>
                  </c:pt>
                  <c:pt idx="6">
                    <c:v>jg@standard.no</c:v>
                  </c:pt>
                  <c:pt idx="7">
                    <c:v>Gimle Terrasse 4</c:v>
                  </c:pt>
                  <c:pt idx="8">
                    <c:v>0264 Oslo</c:v>
                  </c:pt>
                  <c:pt idx="9">
                    <c:v>Norge</c:v>
                  </c:pt>
                  <c:pt idx="10">
                    <c:v>KNS</c:v>
                  </c:pt>
                </c:lvl>
              </c:multiLvlStrCache>
            </c:multiLvlStrRef>
          </c:cat>
          <c:val>
            <c:numRef>
              <c:f>Database!$FL$94:$FZ$94</c:f>
              <c:numCache>
                <c:formatCode>0.00</c:formatCode>
                <c:ptCount val="11"/>
                <c:pt idx="1">
                  <c:v>1</c:v>
                </c:pt>
                <c:pt idx="2">
                  <c:v>1.1138883001323205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7-40BC-B5C0-ABEE324983B9}"/>
            </c:ext>
          </c:extLst>
        </c:ser>
        <c:ser>
          <c:idx val="1"/>
          <c:order val="1"/>
          <c:tx>
            <c:strRef>
              <c:f>Database!$ES$95:$FK$95</c:f>
              <c:strCache>
                <c:ptCount val="19"/>
                <c:pt idx="0">
                  <c:v>1,877</c:v>
                </c:pt>
                <c:pt idx="1">
                  <c:v>3,481</c:v>
                </c:pt>
                <c:pt idx="2">
                  <c:v>1,012</c:v>
                </c:pt>
                <c:pt idx="3">
                  <c:v>1,612</c:v>
                </c:pt>
                <c:pt idx="4">
                  <c:v>0,863</c:v>
                </c:pt>
                <c:pt idx="5">
                  <c:v>-</c:v>
                </c:pt>
                <c:pt idx="6">
                  <c:v>3,568</c:v>
                </c:pt>
                <c:pt idx="7">
                  <c:v>3,481</c:v>
                </c:pt>
                <c:pt idx="8">
                  <c:v>1,025</c:v>
                </c:pt>
                <c:pt idx="9">
                  <c:v>0,906</c:v>
                </c:pt>
                <c:pt idx="10">
                  <c:v>0,858</c:v>
                </c:pt>
                <c:pt idx="11">
                  <c:v>-</c:v>
                </c:pt>
                <c:pt idx="12">
                  <c:v>5,711</c:v>
                </c:pt>
                <c:pt idx="13">
                  <c:v>3,481</c:v>
                </c:pt>
                <c:pt idx="14">
                  <c:v>0,808</c:v>
                </c:pt>
                <c:pt idx="15">
                  <c:v>1,922</c:v>
                </c:pt>
                <c:pt idx="16">
                  <c:v>1,565</c:v>
                </c:pt>
                <c:pt idx="17">
                  <c:v>0,870</c:v>
                </c:pt>
                <c:pt idx="18">
                  <c:v>-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Database!$FL$66:$FZ$93</c:f>
              <c:multiLvlStrCache>
                <c:ptCount val="11"/>
                <c:lvl>
                  <c:pt idx="0">
                    <c:v>1,18</c:v>
                  </c:pt>
                  <c:pt idx="1">
                    <c:v>1,00</c:v>
                  </c:pt>
                  <c:pt idx="2">
                    <c:v>-</c:v>
                  </c:pt>
                  <c:pt idx="3">
                    <c:v>S 546</c:v>
                  </c:pt>
                  <c:pt idx="4">
                    <c:v>Wulf Fiedler</c:v>
                  </c:pt>
                  <c:pt idx="5">
                    <c:v>.+4915117436128</c:v>
                  </c:pt>
                  <c:pt idx="6">
                    <c:v>wulf.fiedler@yartberlin.de</c:v>
                  </c:pt>
                  <c:pt idx="9">
                    <c:v>Tyskland</c:v>
                  </c:pt>
                  <c:pt idx="10">
                    <c:v>.-</c:v>
                  </c:pt>
                </c:lvl>
                <c:lvl>
                  <c:pt idx="1">
                    <c:v>1,00</c:v>
                  </c:pt>
                  <c:pt idx="2">
                    <c:v>-</c:v>
                  </c:pt>
                </c:lvl>
                <c:lvl>
                  <c:pt idx="1">
                    <c:v>1,00</c:v>
                  </c:pt>
                  <c:pt idx="2">
                    <c:v>-</c:v>
                  </c:pt>
                </c:lvl>
                <c:lvl>
                  <c:pt idx="0">
                    <c:v>1,37</c:v>
                  </c:pt>
                  <c:pt idx="1">
                    <c:v>1,00</c:v>
                  </c:pt>
                  <c:pt idx="2">
                    <c:v>-</c:v>
                  </c:pt>
                  <c:pt idx="3">
                    <c:v>N 1</c:v>
                  </c:pt>
                  <c:pt idx="4">
                    <c:v>Stein Victor Svendsen</c:v>
                  </c:pt>
                  <c:pt idx="5">
                    <c:v>99462220</c:v>
                  </c:pt>
                  <c:pt idx="6">
                    <c:v>steinvictorsvendsen@outlook.com</c:v>
                  </c:pt>
                  <c:pt idx="7">
                    <c:v>Huk Aveny 63 B</c:v>
                  </c:pt>
                  <c:pt idx="8">
                    <c:v>0287 Oslo</c:v>
                  </c:pt>
                  <c:pt idx="9">
                    <c:v>Norge</c:v>
                  </c:pt>
                  <c:pt idx="10">
                    <c:v>KNS</c:v>
                  </c:pt>
                </c:lvl>
                <c:lvl>
                  <c:pt idx="1">
                    <c:v>1,00</c:v>
                  </c:pt>
                  <c:pt idx="2">
                    <c:v>-</c:v>
                  </c:pt>
                </c:lvl>
                <c:lvl>
                  <c:pt idx="1">
                    <c:v>1,00</c:v>
                  </c:pt>
                  <c:pt idx="2">
                    <c:v>-</c:v>
                  </c:pt>
                </c:lvl>
                <c:lvl>
                  <c:pt idx="0">
                    <c:v>1,40</c:v>
                  </c:pt>
                  <c:pt idx="1">
                    <c:v>1,00</c:v>
                  </c:pt>
                  <c:pt idx="2">
                    <c:v>-</c:v>
                  </c:pt>
                  <c:pt idx="3">
                    <c:v>G 15</c:v>
                  </c:pt>
                  <c:pt idx="4">
                    <c:v>Jan Erik Haavi</c:v>
                  </c:pt>
                  <c:pt idx="5">
                    <c:v>91124325</c:v>
                  </c:pt>
                  <c:pt idx="6">
                    <c:v>j.haavi@online.no</c:v>
                  </c:pt>
                  <c:pt idx="7">
                    <c:v>Levreveien 16</c:v>
                  </c:pt>
                  <c:pt idx="8">
                    <c:v>1346 Gjettum</c:v>
                  </c:pt>
                  <c:pt idx="9">
                    <c:v>Norge</c:v>
                  </c:pt>
                  <c:pt idx="10">
                    <c:v>.-</c:v>
                  </c:pt>
                </c:lvl>
                <c:lvl>
                  <c:pt idx="1">
                    <c:v>1,00</c:v>
                  </c:pt>
                  <c:pt idx="2">
                    <c:v>-</c:v>
                  </c:pt>
                </c:lvl>
                <c:lvl>
                  <c:pt idx="1">
                    <c:v>1,00</c:v>
                  </c:pt>
                  <c:pt idx="2">
                    <c:v>1,39</c:v>
                  </c:pt>
                </c:lvl>
                <c:lvl>
                  <c:pt idx="0">
                    <c:v>1,38</c:v>
                  </c:pt>
                  <c:pt idx="1">
                    <c:v>1,00</c:v>
                  </c:pt>
                  <c:pt idx="2">
                    <c:v>-</c:v>
                  </c:pt>
                  <c:pt idx="3">
                    <c:v>69</c:v>
                  </c:pt>
                  <c:pt idx="4">
                    <c:v>Christian Scheidtmann</c:v>
                  </c:pt>
                  <c:pt idx="5">
                    <c:v>.+49 177 320 4677</c:v>
                  </c:pt>
                  <c:pt idx="6">
                    <c:v>Chr.Scheidtmann@googlemail.com</c:v>
                  </c:pt>
                  <c:pt idx="7">
                    <c:v>.-</c:v>
                  </c:pt>
                  <c:pt idx="8">
                    <c:v>.-</c:v>
                  </c:pt>
                  <c:pt idx="9">
                    <c:v>Tyskland</c:v>
                  </c:pt>
                  <c:pt idx="10">
                    <c:v>.-</c:v>
                  </c:pt>
                </c:lvl>
                <c:lvl>
                  <c:pt idx="1">
                    <c:v>0,95</c:v>
                  </c:pt>
                  <c:pt idx="2">
                    <c:v>-</c:v>
                  </c:pt>
                </c:lvl>
                <c:lvl>
                  <c:pt idx="0">
                    <c:v>1,02</c:v>
                  </c:pt>
                  <c:pt idx="1">
                    <c:v>0,95</c:v>
                  </c:pt>
                  <c:pt idx="2">
                    <c:v>1,00</c:v>
                  </c:pt>
                </c:lvl>
                <c:lvl>
                  <c:pt idx="0">
                    <c:v>0,88</c:v>
                  </c:pt>
                  <c:pt idx="1">
                    <c:v>0,95</c:v>
                  </c:pt>
                  <c:pt idx="2">
                    <c:v>1,05</c:v>
                  </c:pt>
                </c:lvl>
                <c:lvl>
                  <c:pt idx="0">
                    <c:v>0,82</c:v>
                  </c:pt>
                  <c:pt idx="1">
                    <c:v>0,95</c:v>
                  </c:pt>
                  <c:pt idx="2">
                    <c:v>1,08</c:v>
                  </c:pt>
                </c:lvl>
                <c:lvl>
                  <c:pt idx="0">
                    <c:v>1,02</c:v>
                  </c:pt>
                  <c:pt idx="1">
                    <c:v>0,95</c:v>
                  </c:pt>
                  <c:pt idx="2">
                    <c:v>-</c:v>
                  </c:pt>
                  <c:pt idx="3">
                    <c:v>4</c:v>
                  </c:pt>
                  <c:pt idx="4">
                    <c:v>Gabriel Lund</c:v>
                  </c:pt>
                  <c:pt idx="5">
                    <c:v>911 46 767</c:v>
                  </c:pt>
                  <c:pt idx="7">
                    <c:v>Fjordgløtt 19</c:v>
                  </c:pt>
                  <c:pt idx="8">
                    <c:v>1516 Jeløy</c:v>
                  </c:pt>
                  <c:pt idx="9">
                    <c:v>Norge</c:v>
                  </c:pt>
                  <c:pt idx="10">
                    <c:v>?</c:v>
                  </c:pt>
                </c:lvl>
                <c:lvl>
                  <c:pt idx="1">
                    <c:v>1,00</c:v>
                  </c:pt>
                  <c:pt idx="2">
                    <c:v>1,14</c:v>
                  </c:pt>
                </c:lvl>
                <c:lvl>
                  <c:pt idx="0">
                    <c:v>1,19</c:v>
                  </c:pt>
                  <c:pt idx="1">
                    <c:v>1,00</c:v>
                  </c:pt>
                  <c:pt idx="2">
                    <c:v>-</c:v>
                  </c:pt>
                  <c:pt idx="3">
                    <c:v>F - G 21</c:v>
                  </c:pt>
                  <c:pt idx="4">
                    <c:v>Timo Lantzsch</c:v>
                  </c:pt>
                  <c:pt idx="5">
                    <c:v>.+49 15751613819</c:v>
                  </c:pt>
                  <c:pt idx="6">
                    <c:v>timoholzbootsbau@lantzsch.de</c:v>
                  </c:pt>
                  <c:pt idx="7">
                    <c:v>Huholzweg 56</c:v>
                  </c:pt>
                  <c:pt idx="8">
                    <c:v>24376 Koppeln</c:v>
                  </c:pt>
                  <c:pt idx="9">
                    <c:v>Tyskland</c:v>
                  </c:pt>
                  <c:pt idx="10">
                    <c:v>FKY</c:v>
                  </c:pt>
                </c:lvl>
                <c:lvl>
                  <c:pt idx="1">
                    <c:v>1,00</c:v>
                  </c:pt>
                  <c:pt idx="2">
                    <c:v>0,00</c:v>
                  </c:pt>
                </c:lvl>
                <c:lvl>
                  <c:pt idx="0">
                    <c:v>1,27</c:v>
                  </c:pt>
                  <c:pt idx="1">
                    <c:v>1,00</c:v>
                  </c:pt>
                  <c:pt idx="2">
                    <c:v>-</c:v>
                  </c:pt>
                  <c:pt idx="3">
                    <c:v>N 54</c:v>
                  </c:pt>
                  <c:pt idx="4">
                    <c:v>Knut Halland</c:v>
                  </c:pt>
                  <c:pt idx="5">
                    <c:v>90281474</c:v>
                  </c:pt>
                  <c:pt idx="6">
                    <c:v>.-</c:v>
                  </c:pt>
                  <c:pt idx="7">
                    <c:v>adr</c:v>
                  </c:pt>
                  <c:pt idx="8">
                    <c:v>1515 Son</c:v>
                  </c:pt>
                  <c:pt idx="9">
                    <c:v>Norge</c:v>
                  </c:pt>
                  <c:pt idx="10">
                    <c:v>Soon SF</c:v>
                  </c:pt>
                </c:lvl>
                <c:lvl>
                  <c:pt idx="1">
                    <c:v>1,00</c:v>
                  </c:pt>
                  <c:pt idx="2">
                    <c:v>-</c:v>
                  </c:pt>
                </c:lvl>
                <c:lvl>
                  <c:pt idx="1">
                    <c:v>1,00</c:v>
                  </c:pt>
                  <c:pt idx="2">
                    <c:v>-</c:v>
                  </c:pt>
                </c:lvl>
                <c:lvl>
                  <c:pt idx="0">
                    <c:v>1,47</c:v>
                  </c:pt>
                  <c:pt idx="1">
                    <c:v>1,00</c:v>
                  </c:pt>
                  <c:pt idx="2">
                    <c:v>-</c:v>
                  </c:pt>
                  <c:pt idx="3">
                    <c:v>E 1</c:v>
                  </c:pt>
                  <c:pt idx="4">
                    <c:v>Andreas Krause</c:v>
                  </c:pt>
                  <c:pt idx="5">
                    <c:v>.+49 172 4526 168</c:v>
                  </c:pt>
                  <c:pt idx="6">
                    <c:v>krause@trivia.de</c:v>
                  </c:pt>
                  <c:pt idx="7">
                    <c:v>.-</c:v>
                  </c:pt>
                  <c:pt idx="8">
                    <c:v>Kiel</c:v>
                  </c:pt>
                  <c:pt idx="9">
                    <c:v>Tyskland</c:v>
                  </c:pt>
                  <c:pt idx="10">
                    <c:v>WSG Sieseby</c:v>
                  </c:pt>
                </c:lvl>
                <c:lvl>
                  <c:pt idx="1">
                    <c:v>1,00</c:v>
                  </c:pt>
                  <c:pt idx="2">
                    <c:v>1,57</c:v>
                  </c:pt>
                </c:lvl>
                <c:lvl>
                  <c:pt idx="1">
                    <c:v>1,00</c:v>
                  </c:pt>
                  <c:pt idx="2">
                    <c:v>1,63</c:v>
                  </c:pt>
                </c:lvl>
                <c:lvl>
                  <c:pt idx="0">
                    <c:v>1,62</c:v>
                  </c:pt>
                  <c:pt idx="1">
                    <c:v>1,00</c:v>
                  </c:pt>
                  <c:pt idx="2">
                    <c:v>-</c:v>
                  </c:pt>
                  <c:pt idx="3">
                    <c:v>12 - G 2</c:v>
                  </c:pt>
                  <c:pt idx="4">
                    <c:v>Dr. Berhard Frieling</c:v>
                  </c:pt>
                  <c:pt idx="5">
                    <c:v>.+49 1715390152</c:v>
                  </c:pt>
                  <c:pt idx="6">
                    <c:v>Bernard.Frieling@t-online.de</c:v>
                  </c:pt>
                  <c:pt idx="7">
                    <c:v>Address</c:v>
                  </c:pt>
                  <c:pt idx="9">
                    <c:v>Norge</c:v>
                  </c:pt>
                  <c:pt idx="10">
                    <c:v>Sail club</c:v>
                  </c:pt>
                </c:lvl>
                <c:lvl>
                  <c:pt idx="1">
                    <c:v>1,00</c:v>
                  </c:pt>
                  <c:pt idx="2">
                    <c:v>1,45</c:v>
                  </c:pt>
                </c:lvl>
                <c:lvl>
                  <c:pt idx="1">
                    <c:v>1,00</c:v>
                  </c:pt>
                  <c:pt idx="2">
                    <c:v>1,53</c:v>
                  </c:pt>
                </c:lvl>
                <c:lvl>
                  <c:pt idx="0">
                    <c:v>1,66</c:v>
                  </c:pt>
                  <c:pt idx="1">
                    <c:v>1,00</c:v>
                  </c:pt>
                  <c:pt idx="2">
                    <c:v>-</c:v>
                  </c:pt>
                  <c:pt idx="3">
                    <c:v>NOR 3</c:v>
                  </c:pt>
                  <c:pt idx="4">
                    <c:v>Jens Gran</c:v>
                  </c:pt>
                  <c:pt idx="5">
                    <c:v>95034537</c:v>
                  </c:pt>
                  <c:pt idx="6">
                    <c:v>jg@standard.no</c:v>
                  </c:pt>
                  <c:pt idx="7">
                    <c:v>Gimle Terrasse 4</c:v>
                  </c:pt>
                  <c:pt idx="8">
                    <c:v>0264 Oslo</c:v>
                  </c:pt>
                  <c:pt idx="9">
                    <c:v>Norge</c:v>
                  </c:pt>
                  <c:pt idx="10">
                    <c:v>KNS</c:v>
                  </c:pt>
                </c:lvl>
              </c:multiLvlStrCache>
            </c:multiLvlStrRef>
          </c:cat>
          <c:val>
            <c:numRef>
              <c:f>Database!$FL$95:$FZ$95</c:f>
              <c:numCache>
                <c:formatCode>0.00</c:formatCode>
                <c:ptCount val="11"/>
                <c:pt idx="1">
                  <c:v>1</c:v>
                </c:pt>
                <c:pt idx="2">
                  <c:v>1.0771468284042123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37-40BC-B5C0-ABEE32498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6610639"/>
        <c:axId val="1046616015"/>
      </c:barChart>
      <c:catAx>
        <c:axId val="1076610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46616015"/>
        <c:crosses val="autoZero"/>
        <c:auto val="1"/>
        <c:lblAlgn val="ctr"/>
        <c:lblOffset val="100"/>
        <c:noMultiLvlLbl val="0"/>
      </c:catAx>
      <c:valAx>
        <c:axId val="1046616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6610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738F344-C96D-4802-9644-FDB748CC90A9}">
  <sheetPr/>
  <sheetViews>
    <sheetView zoomScale="13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537" cy="6016388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692A558-8244-B9B4-8925-8201246DCC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g@eplegaarden.no" TargetMode="External"/><Relationship Id="rId13" Type="http://schemas.openxmlformats.org/officeDocument/2006/relationships/hyperlink" Target="mailto:steinvictorsvendsen@outlook.com" TargetMode="External"/><Relationship Id="rId18" Type="http://schemas.openxmlformats.org/officeDocument/2006/relationships/hyperlink" Target="mailto:jg@standard.no" TargetMode="External"/><Relationship Id="rId3" Type="http://schemas.openxmlformats.org/officeDocument/2006/relationships/hyperlink" Target="mailto:teg@tegseil.no" TargetMode="External"/><Relationship Id="rId21" Type="http://schemas.openxmlformats.org/officeDocument/2006/relationships/hyperlink" Target="mailto:Chr.Scheidtmann@googlemail.com" TargetMode="External"/><Relationship Id="rId7" Type="http://schemas.openxmlformats.org/officeDocument/2006/relationships/hyperlink" Target="mailto:timoholzbootsbau@lantzsch.de" TargetMode="External"/><Relationship Id="rId12" Type="http://schemas.openxmlformats.org/officeDocument/2006/relationships/hyperlink" Target="mailto:j.haavi@online.no" TargetMode="External"/><Relationship Id="rId17" Type="http://schemas.openxmlformats.org/officeDocument/2006/relationships/hyperlink" Target="mailto:tobias.revold@gmail.com" TargetMode="External"/><Relationship Id="rId2" Type="http://schemas.openxmlformats.org/officeDocument/2006/relationships/hyperlink" Target="mailto:olekri49@xxx" TargetMode="External"/><Relationship Id="rId16" Type="http://schemas.openxmlformats.org/officeDocument/2006/relationships/hyperlink" Target="mailto:yngve.ottesen@banenor.no" TargetMode="External"/><Relationship Id="rId20" Type="http://schemas.openxmlformats.org/officeDocument/2006/relationships/hyperlink" Target="mailto:krause@trivia.de" TargetMode="External"/><Relationship Id="rId1" Type="http://schemas.openxmlformats.org/officeDocument/2006/relationships/hyperlink" Target="mailto:taanjese@start.no" TargetMode="External"/><Relationship Id="rId6" Type="http://schemas.openxmlformats.org/officeDocument/2006/relationships/hyperlink" Target="mailto:jeppejul02@gmail.com" TargetMode="External"/><Relationship Id="rId11" Type="http://schemas.openxmlformats.org/officeDocument/2006/relationships/hyperlink" Target="mailto:knuts.mail@tele8.no" TargetMode="External"/><Relationship Id="rId5" Type="http://schemas.openxmlformats.org/officeDocument/2006/relationships/hyperlink" Target="mailto:Bernard.Frieling@t-online.de" TargetMode="External"/><Relationship Id="rId15" Type="http://schemas.openxmlformats.org/officeDocument/2006/relationships/hyperlink" Target="mailto:torf-ro@online.no" TargetMode="External"/><Relationship Id="rId10" Type="http://schemas.openxmlformats.org/officeDocument/2006/relationships/hyperlink" Target="mailto:trond.stensvold@hotmail.com" TargetMode="External"/><Relationship Id="rId19" Type="http://schemas.openxmlformats.org/officeDocument/2006/relationships/hyperlink" Target="mailto:jorn.steingrim.andersen@gmail.com" TargetMode="External"/><Relationship Id="rId4" Type="http://schemas.openxmlformats.org/officeDocument/2006/relationships/hyperlink" Target="mailto:wulf.fiedler@yartberlin.de" TargetMode="External"/><Relationship Id="rId9" Type="http://schemas.openxmlformats.org/officeDocument/2006/relationships/hyperlink" Target="mailto:post@finn-b.no" TargetMode="External"/><Relationship Id="rId14" Type="http://schemas.openxmlformats.org/officeDocument/2006/relationships/hyperlink" Target="mailto:arnegur@online.no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l-nielsen.no/TBF.html" TargetMode="External"/><Relationship Id="rId2" Type="http://schemas.openxmlformats.org/officeDocument/2006/relationships/hyperlink" Target="http://www.jul-nielsen.no/TBF.html" TargetMode="External"/><Relationship Id="rId1" Type="http://schemas.openxmlformats.org/officeDocument/2006/relationships/hyperlink" Target="http://www.jul-nielsen.no/TBF.htm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trebatfestivalen.no/seilregat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C1407-4C71-4275-ACF6-C2632C7923D3}">
  <sheetPr>
    <pageSetUpPr fitToPage="1"/>
  </sheetPr>
  <dimension ref="A1:GP276"/>
  <sheetViews>
    <sheetView tabSelected="1" zoomScaleNormal="100" workbookViewId="0">
      <pane xSplit="8" ySplit="9" topLeftCell="R44" activePane="bottomRight" state="frozen"/>
      <selection pane="topRight" activeCell="F1" sqref="F1"/>
      <selection pane="bottomLeft" activeCell="A9" sqref="A9"/>
      <selection pane="bottomRight" activeCell="A2" sqref="A2:AX63"/>
    </sheetView>
  </sheetViews>
  <sheetFormatPr baseColWidth="10" defaultRowHeight="18.600000000000001" x14ac:dyDescent="0.3"/>
  <cols>
    <col min="1" max="1" width="19.88671875" style="13" customWidth="1"/>
    <col min="2" max="2" width="5" style="219" bestFit="1" customWidth="1"/>
    <col min="3" max="3" width="8.109375" style="14" customWidth="1"/>
    <col min="4" max="6" width="6.6640625" style="14" hidden="1" customWidth="1"/>
    <col min="7" max="7" width="4.33203125" style="4" hidden="1" customWidth="1"/>
    <col min="8" max="8" width="8" style="207" customWidth="1"/>
    <col min="9" max="9" width="5.6640625" style="14" customWidth="1"/>
    <col min="10" max="10" width="8.6640625" style="224" customWidth="1"/>
    <col min="11" max="12" width="5.33203125" style="94" bestFit="1" customWidth="1"/>
    <col min="13" max="13" width="4.6640625" style="94" customWidth="1"/>
    <col min="14" max="14" width="5.33203125" style="94" bestFit="1" customWidth="1"/>
    <col min="15" max="15" width="5.6640625" style="25" customWidth="1"/>
    <col min="16" max="16" width="5.6640625" style="45" customWidth="1"/>
    <col min="17" max="17" width="5.6640625" style="25" customWidth="1"/>
    <col min="18" max="19" width="5.6640625" style="45" customWidth="1"/>
    <col min="20" max="21" width="5.6640625" style="25" customWidth="1"/>
    <col min="22" max="23" width="5.6640625" style="45" customWidth="1"/>
    <col min="24" max="25" width="5.6640625" style="25" customWidth="1"/>
    <col min="26" max="26" width="5.6640625" style="45" customWidth="1"/>
    <col min="27" max="28" width="5.6640625" style="25" customWidth="1"/>
    <col min="29" max="29" width="5.6640625" style="45" customWidth="1"/>
    <col min="30" max="30" width="5.6640625" style="25" customWidth="1"/>
    <col min="31" max="31" width="5.33203125" style="25" bestFit="1" customWidth="1"/>
    <col min="32" max="32" width="5.6640625" style="14" customWidth="1"/>
    <col min="33" max="33" width="4.6640625" style="14" customWidth="1"/>
    <col min="34" max="34" width="5.6640625" style="14" customWidth="1"/>
    <col min="35" max="35" width="4.6640625" style="14" customWidth="1"/>
    <col min="36" max="36" width="5.6640625" style="14" customWidth="1"/>
    <col min="37" max="37" width="4.6640625" style="14" customWidth="1"/>
    <col min="38" max="42" width="6" style="45" customWidth="1"/>
    <col min="43" max="44" width="5.33203125" style="45" customWidth="1"/>
    <col min="45" max="46" width="6.88671875" style="45" customWidth="1"/>
    <col min="47" max="50" width="6.5546875" style="45" customWidth="1"/>
    <col min="51" max="51" width="4.6640625" style="14" bestFit="1" customWidth="1"/>
    <col min="52" max="52" width="5" style="14" bestFit="1" customWidth="1"/>
    <col min="53" max="53" width="6.33203125" style="41" bestFit="1" customWidth="1"/>
    <col min="54" max="54" width="6.109375" style="14" bestFit="1" customWidth="1"/>
    <col min="55" max="55" width="5.44140625" style="14" bestFit="1" customWidth="1"/>
    <col min="56" max="56" width="5.88671875" style="14" bestFit="1" customWidth="1"/>
    <col min="57" max="57" width="5.44140625" style="14" bestFit="1" customWidth="1"/>
    <col min="58" max="58" width="6.33203125" style="75" customWidth="1"/>
    <col min="59" max="59" width="2.5546875" style="14" bestFit="1" customWidth="1"/>
    <col min="60" max="60" width="3.109375" style="14" bestFit="1" customWidth="1"/>
    <col min="61" max="61" width="4" style="14" bestFit="1" customWidth="1"/>
    <col min="62" max="63" width="4.44140625" style="14" customWidth="1"/>
    <col min="64" max="64" width="2" style="45" customWidth="1"/>
    <col min="65" max="70" width="6.33203125" style="14" customWidth="1"/>
    <col min="71" max="71" width="7" style="14" customWidth="1"/>
    <col min="72" max="81" width="6.33203125" style="14" customWidth="1"/>
    <col min="82" max="82" width="6.88671875" style="14" customWidth="1"/>
    <col min="83" max="83" width="2.109375" style="14" hidden="1" customWidth="1"/>
    <col min="84" max="84" width="7" style="76" bestFit="1" customWidth="1"/>
    <col min="85" max="85" width="5.33203125" style="26" customWidth="1"/>
    <col min="86" max="86" width="5.33203125" style="26" hidden="1" customWidth="1"/>
    <col min="87" max="87" width="5.33203125" style="94" bestFit="1" customWidth="1"/>
    <col min="88" max="88" width="5.33203125" style="26" customWidth="1"/>
    <col min="89" max="89" width="2" style="207" customWidth="1"/>
    <col min="90" max="90" width="10.109375" style="207" customWidth="1"/>
    <col min="96" max="98" width="8" style="46" customWidth="1"/>
    <col min="99" max="99" width="9.109375" style="167" customWidth="1"/>
    <col min="100" max="100" width="11.5546875" hidden="1" customWidth="1"/>
    <col min="101" max="103" width="10.109375" style="23" hidden="1" customWidth="1"/>
    <col min="104" max="104" width="10.109375" style="15" hidden="1" customWidth="1"/>
    <col min="105" max="105" width="11.5546875" style="137" hidden="1" customWidth="1"/>
    <col min="106" max="107" width="5.44140625" style="14" hidden="1" customWidth="1"/>
    <col min="108" max="109" width="11.5546875" hidden="1" customWidth="1"/>
    <col min="110" max="110" width="11.5546875" style="143" hidden="1" customWidth="1"/>
    <col min="111" max="111" width="11.5546875" hidden="1" customWidth="1"/>
    <col min="112" max="115" width="11.5546875" style="137" hidden="1" customWidth="1"/>
    <col min="116" max="116" width="11.5546875" hidden="1" customWidth="1"/>
    <col min="117" max="117" width="11.5546875" style="137" hidden="1" customWidth="1"/>
    <col min="118" max="120" width="11.5546875" hidden="1" customWidth="1"/>
    <col min="121" max="121" width="11.5546875" style="124" hidden="1" customWidth="1"/>
    <col min="122" max="122" width="11.5546875" hidden="1" customWidth="1"/>
    <col min="123" max="123" width="11.5546875" style="124" hidden="1" customWidth="1"/>
    <col min="124" max="124" width="11.5546875" hidden="1" customWidth="1"/>
    <col min="125" max="125" width="11.5546875" style="124" hidden="1" customWidth="1"/>
    <col min="126" max="130" width="11.5546875" hidden="1" customWidth="1"/>
    <col min="131" max="131" width="11.5546875" style="124" hidden="1" customWidth="1"/>
    <col min="132" max="135" width="11.5546875" hidden="1" customWidth="1"/>
    <col min="136" max="136" width="11.5546875" style="124" hidden="1" customWidth="1"/>
    <col min="137" max="141" width="11.5546875" hidden="1" customWidth="1"/>
    <col min="142" max="142" width="11.5546875" style="124" hidden="1" customWidth="1"/>
    <col min="143" max="147" width="11.5546875" hidden="1" customWidth="1"/>
    <col min="148" max="148" width="11.5546875" style="124" hidden="1" customWidth="1"/>
    <col min="149" max="153" width="11.5546875" hidden="1" customWidth="1"/>
    <col min="154" max="154" width="11.5546875" style="143" hidden="1" customWidth="1"/>
    <col min="155" max="155" width="11.5546875" hidden="1" customWidth="1"/>
    <col min="156" max="157" width="11.5546875" style="137" hidden="1" customWidth="1"/>
    <col min="158" max="159" width="11.5546875" hidden="1" customWidth="1"/>
    <col min="160" max="160" width="11.5546875" style="143" hidden="1" customWidth="1"/>
    <col min="161" max="161" width="11.5546875" hidden="1" customWidth="1"/>
    <col min="162" max="164" width="11.5546875" style="137" hidden="1" customWidth="1"/>
    <col min="165" max="166" width="11.5546875" hidden="1" customWidth="1"/>
    <col min="167" max="167" width="11.5546875" style="143" hidden="1" customWidth="1"/>
    <col min="168" max="168" width="11.5546875" hidden="1" customWidth="1"/>
    <col min="169" max="170" width="11.5546875" style="137" hidden="1" customWidth="1"/>
    <col min="171" max="171" width="11.5546875" hidden="1" customWidth="1"/>
    <col min="172" max="172" width="11.5546875" style="129" customWidth="1"/>
    <col min="174" max="174" width="15.33203125" customWidth="1"/>
    <col min="175" max="175" width="19.6640625" style="478" customWidth="1"/>
    <col min="176" max="176" width="19.6640625" style="45" customWidth="1"/>
    <col min="177" max="177" width="20.109375" style="75" customWidth="1"/>
    <col min="178" max="178" width="28" style="503" customWidth="1"/>
    <col min="179" max="182" width="24.6640625" style="45" customWidth="1"/>
    <col min="183" max="183" width="3.33203125" customWidth="1"/>
    <col min="184" max="184" width="19.6640625" style="45" customWidth="1"/>
    <col min="185" max="185" width="12.5546875" style="75" customWidth="1"/>
    <col min="186" max="189" width="24.6640625" style="46" customWidth="1"/>
    <col min="190" max="190" width="3.33203125" customWidth="1"/>
    <col min="191" max="193" width="24.6640625" style="45" customWidth="1"/>
    <col min="194" max="194" width="27.33203125" style="45" customWidth="1"/>
    <col min="195" max="198" width="24.6640625" style="45" customWidth="1"/>
  </cols>
  <sheetData>
    <row r="1" spans="1:198" s="472" customFormat="1" ht="10.8" thickBot="1" x14ac:dyDescent="0.25">
      <c r="A1" s="471">
        <v>1</v>
      </c>
      <c r="B1" s="471">
        <f>A1+1</f>
        <v>2</v>
      </c>
      <c r="C1" s="471">
        <f t="shared" ref="C1" si="0">B1+1</f>
        <v>3</v>
      </c>
      <c r="D1" s="471">
        <f t="shared" ref="D1" si="1">C1+1</f>
        <v>4</v>
      </c>
      <c r="E1" s="471">
        <f t="shared" ref="E1" si="2">D1+1</f>
        <v>5</v>
      </c>
      <c r="F1" s="471">
        <f t="shared" ref="F1" si="3">E1+1</f>
        <v>6</v>
      </c>
      <c r="G1" s="471">
        <f t="shared" ref="G1" si="4">F1+1</f>
        <v>7</v>
      </c>
      <c r="H1" s="471">
        <f t="shared" ref="H1" si="5">G1+1</f>
        <v>8</v>
      </c>
      <c r="I1" s="471">
        <f t="shared" ref="I1" si="6">H1+1</f>
        <v>9</v>
      </c>
      <c r="J1" s="471">
        <f t="shared" ref="J1" si="7">I1+1</f>
        <v>10</v>
      </c>
      <c r="K1" s="471">
        <f t="shared" ref="K1" si="8">J1+1</f>
        <v>11</v>
      </c>
      <c r="L1" s="471">
        <f t="shared" ref="L1" si="9">K1+1</f>
        <v>12</v>
      </c>
      <c r="M1" s="471">
        <f t="shared" ref="M1" si="10">L1+1</f>
        <v>13</v>
      </c>
      <c r="N1" s="471">
        <f t="shared" ref="N1" si="11">M1+1</f>
        <v>14</v>
      </c>
      <c r="O1" s="471">
        <f t="shared" ref="O1" si="12">N1+1</f>
        <v>15</v>
      </c>
      <c r="P1" s="471">
        <f t="shared" ref="P1" si="13">O1+1</f>
        <v>16</v>
      </c>
      <c r="Q1" s="471">
        <f t="shared" ref="Q1" si="14">P1+1</f>
        <v>17</v>
      </c>
      <c r="R1" s="471">
        <f t="shared" ref="R1" si="15">Q1+1</f>
        <v>18</v>
      </c>
      <c r="S1" s="471">
        <f t="shared" ref="S1" si="16">R1+1</f>
        <v>19</v>
      </c>
      <c r="T1" s="471">
        <f t="shared" ref="T1" si="17">S1+1</f>
        <v>20</v>
      </c>
      <c r="U1" s="471">
        <f t="shared" ref="U1" si="18">T1+1</f>
        <v>21</v>
      </c>
      <c r="V1" s="471">
        <f t="shared" ref="V1" si="19">U1+1</f>
        <v>22</v>
      </c>
      <c r="W1" s="471">
        <f t="shared" ref="W1" si="20">V1+1</f>
        <v>23</v>
      </c>
      <c r="X1" s="471">
        <f t="shared" ref="X1" si="21">W1+1</f>
        <v>24</v>
      </c>
      <c r="Y1" s="471">
        <f t="shared" ref="Y1" si="22">X1+1</f>
        <v>25</v>
      </c>
      <c r="Z1" s="471">
        <f t="shared" ref="Z1" si="23">Y1+1</f>
        <v>26</v>
      </c>
      <c r="AA1" s="471">
        <f t="shared" ref="AA1" si="24">Z1+1</f>
        <v>27</v>
      </c>
      <c r="AB1" s="471">
        <f t="shared" ref="AB1" si="25">AA1+1</f>
        <v>28</v>
      </c>
      <c r="AC1" s="471">
        <f t="shared" ref="AC1" si="26">AB1+1</f>
        <v>29</v>
      </c>
      <c r="AD1" s="471">
        <f t="shared" ref="AD1" si="27">AC1+1</f>
        <v>30</v>
      </c>
      <c r="AE1" s="471">
        <f t="shared" ref="AE1" si="28">AD1+1</f>
        <v>31</v>
      </c>
      <c r="AF1" s="471">
        <f t="shared" ref="AF1" si="29">AE1+1</f>
        <v>32</v>
      </c>
      <c r="AG1" s="471">
        <f t="shared" ref="AG1" si="30">AF1+1</f>
        <v>33</v>
      </c>
      <c r="AH1" s="471">
        <f t="shared" ref="AH1" si="31">AG1+1</f>
        <v>34</v>
      </c>
      <c r="AI1" s="471">
        <f t="shared" ref="AI1" si="32">AH1+1</f>
        <v>35</v>
      </c>
      <c r="AJ1" s="471">
        <f t="shared" ref="AJ1" si="33">AI1+1</f>
        <v>36</v>
      </c>
      <c r="AK1" s="471">
        <f t="shared" ref="AK1" si="34">AJ1+1</f>
        <v>37</v>
      </c>
      <c r="AL1" s="471">
        <f t="shared" ref="AL1" si="35">AK1+1</f>
        <v>38</v>
      </c>
      <c r="AM1" s="471">
        <f t="shared" ref="AM1" si="36">AL1+1</f>
        <v>39</v>
      </c>
      <c r="AN1" s="471">
        <f t="shared" ref="AN1" si="37">AM1+1</f>
        <v>40</v>
      </c>
      <c r="AO1" s="471">
        <f t="shared" ref="AO1" si="38">AN1+1</f>
        <v>41</v>
      </c>
      <c r="AP1" s="471">
        <f t="shared" ref="AP1" si="39">AO1+1</f>
        <v>42</v>
      </c>
      <c r="AQ1" s="471">
        <f t="shared" ref="AQ1" si="40">AP1+1</f>
        <v>43</v>
      </c>
      <c r="AR1" s="471">
        <f t="shared" ref="AR1" si="41">AQ1+1</f>
        <v>44</v>
      </c>
      <c r="AS1" s="471">
        <f t="shared" ref="AS1" si="42">AR1+1</f>
        <v>45</v>
      </c>
      <c r="AT1" s="471">
        <f t="shared" ref="AT1" si="43">AS1+1</f>
        <v>46</v>
      </c>
      <c r="AU1" s="471">
        <f t="shared" ref="AU1" si="44">AT1+1</f>
        <v>47</v>
      </c>
      <c r="AV1" s="471">
        <f t="shared" ref="AV1" si="45">AU1+1</f>
        <v>48</v>
      </c>
      <c r="AW1" s="471">
        <f t="shared" ref="AW1" si="46">AV1+1</f>
        <v>49</v>
      </c>
      <c r="AX1" s="471">
        <f t="shared" ref="AX1" si="47">AW1+1</f>
        <v>50</v>
      </c>
      <c r="AY1" s="471">
        <f t="shared" ref="AY1" si="48">AX1+1</f>
        <v>51</v>
      </c>
      <c r="AZ1" s="471">
        <f t="shared" ref="AZ1" si="49">AY1+1</f>
        <v>52</v>
      </c>
      <c r="BA1" s="471">
        <f t="shared" ref="BA1" si="50">AZ1+1</f>
        <v>53</v>
      </c>
      <c r="BB1" s="471">
        <f t="shared" ref="BB1" si="51">BA1+1</f>
        <v>54</v>
      </c>
      <c r="BC1" s="471">
        <f t="shared" ref="BC1" si="52">BB1+1</f>
        <v>55</v>
      </c>
      <c r="BD1" s="471">
        <f t="shared" ref="BD1" si="53">BC1+1</f>
        <v>56</v>
      </c>
      <c r="BE1" s="471">
        <f t="shared" ref="BE1" si="54">BD1+1</f>
        <v>57</v>
      </c>
      <c r="BF1" s="471">
        <f t="shared" ref="BF1" si="55">BE1+1</f>
        <v>58</v>
      </c>
      <c r="BG1" s="471">
        <f t="shared" ref="BG1" si="56">BF1+1</f>
        <v>59</v>
      </c>
      <c r="BH1" s="471">
        <f t="shared" ref="BH1" si="57">BG1+1</f>
        <v>60</v>
      </c>
      <c r="BI1" s="471">
        <f t="shared" ref="BI1" si="58">BH1+1</f>
        <v>61</v>
      </c>
      <c r="BJ1" s="471">
        <f t="shared" ref="BJ1" si="59">BI1+1</f>
        <v>62</v>
      </c>
      <c r="BK1" s="471">
        <f t="shared" ref="BK1" si="60">BJ1+1</f>
        <v>63</v>
      </c>
      <c r="BL1" s="471">
        <f t="shared" ref="BL1" si="61">BK1+1</f>
        <v>64</v>
      </c>
      <c r="BM1" s="471">
        <f t="shared" ref="BM1" si="62">BL1+1</f>
        <v>65</v>
      </c>
      <c r="BN1" s="471">
        <f t="shared" ref="BN1" si="63">BM1+1</f>
        <v>66</v>
      </c>
      <c r="BO1" s="471">
        <f t="shared" ref="BO1" si="64">BN1+1</f>
        <v>67</v>
      </c>
      <c r="BP1" s="471">
        <f t="shared" ref="BP1" si="65">BO1+1</f>
        <v>68</v>
      </c>
      <c r="BQ1" s="471">
        <f t="shared" ref="BQ1" si="66">BP1+1</f>
        <v>69</v>
      </c>
      <c r="BR1" s="471">
        <f t="shared" ref="BR1" si="67">BQ1+1</f>
        <v>70</v>
      </c>
      <c r="BS1" s="471">
        <f t="shared" ref="BS1" si="68">BR1+1</f>
        <v>71</v>
      </c>
      <c r="BT1" s="471">
        <f t="shared" ref="BT1" si="69">BS1+1</f>
        <v>72</v>
      </c>
      <c r="BU1" s="471">
        <f t="shared" ref="BU1" si="70">BT1+1</f>
        <v>73</v>
      </c>
      <c r="BV1" s="471">
        <f t="shared" ref="BV1" si="71">BU1+1</f>
        <v>74</v>
      </c>
      <c r="BW1" s="471">
        <f t="shared" ref="BW1" si="72">BV1+1</f>
        <v>75</v>
      </c>
      <c r="BX1" s="471">
        <f t="shared" ref="BX1" si="73">BW1+1</f>
        <v>76</v>
      </c>
      <c r="BY1" s="471">
        <f t="shared" ref="BY1" si="74">BX1+1</f>
        <v>77</v>
      </c>
      <c r="BZ1" s="471">
        <f t="shared" ref="BZ1" si="75">BY1+1</f>
        <v>78</v>
      </c>
      <c r="CA1" s="471">
        <f t="shared" ref="CA1" si="76">BZ1+1</f>
        <v>79</v>
      </c>
      <c r="CB1" s="471">
        <f t="shared" ref="CB1" si="77">CA1+1</f>
        <v>80</v>
      </c>
      <c r="CC1" s="471">
        <f t="shared" ref="CC1" si="78">CB1+1</f>
        <v>81</v>
      </c>
      <c r="CD1" s="471">
        <f t="shared" ref="CD1" si="79">CC1+1</f>
        <v>82</v>
      </c>
      <c r="CE1" s="471">
        <f t="shared" ref="CE1" si="80">CD1+1</f>
        <v>83</v>
      </c>
      <c r="CF1" s="471">
        <f t="shared" ref="CF1" si="81">CE1+1</f>
        <v>84</v>
      </c>
      <c r="CG1" s="471">
        <f t="shared" ref="CG1" si="82">CF1+1</f>
        <v>85</v>
      </c>
      <c r="CH1" s="471">
        <f t="shared" ref="CH1" si="83">CG1+1</f>
        <v>86</v>
      </c>
      <c r="CI1" s="471">
        <f t="shared" ref="CI1" si="84">CH1+1</f>
        <v>87</v>
      </c>
      <c r="CJ1" s="471">
        <f t="shared" ref="CJ1" si="85">CI1+1</f>
        <v>88</v>
      </c>
      <c r="CK1" s="471">
        <f t="shared" ref="CK1" si="86">CJ1+1</f>
        <v>89</v>
      </c>
      <c r="CL1" s="471">
        <f t="shared" ref="CL1" si="87">CK1+1</f>
        <v>90</v>
      </c>
      <c r="CM1" s="471">
        <f t="shared" ref="CM1" si="88">CL1+1</f>
        <v>91</v>
      </c>
      <c r="CN1" s="471">
        <f t="shared" ref="CN1" si="89">CM1+1</f>
        <v>92</v>
      </c>
      <c r="CO1" s="471">
        <f t="shared" ref="CO1" si="90">CN1+1</f>
        <v>93</v>
      </c>
      <c r="CP1" s="471">
        <f t="shared" ref="CP1" si="91">CO1+1</f>
        <v>94</v>
      </c>
      <c r="CQ1" s="471">
        <f t="shared" ref="CQ1" si="92">CP1+1</f>
        <v>95</v>
      </c>
      <c r="CR1" s="471">
        <f t="shared" ref="CR1" si="93">CQ1+1</f>
        <v>96</v>
      </c>
      <c r="CS1" s="471">
        <f t="shared" ref="CS1" si="94">CR1+1</f>
        <v>97</v>
      </c>
      <c r="CT1" s="471">
        <f t="shared" ref="CT1" si="95">CS1+1</f>
        <v>98</v>
      </c>
      <c r="CU1" s="471">
        <f t="shared" ref="CU1" si="96">CT1+1</f>
        <v>99</v>
      </c>
      <c r="CV1" s="471">
        <f t="shared" ref="CV1" si="97">CU1+1</f>
        <v>100</v>
      </c>
      <c r="CW1" s="471">
        <f t="shared" ref="CW1" si="98">CV1+1</f>
        <v>101</v>
      </c>
      <c r="CX1" s="471">
        <f t="shared" ref="CX1" si="99">CW1+1</f>
        <v>102</v>
      </c>
      <c r="CY1" s="471">
        <f t="shared" ref="CY1" si="100">CX1+1</f>
        <v>103</v>
      </c>
      <c r="CZ1" s="471">
        <f t="shared" ref="CZ1" si="101">CY1+1</f>
        <v>104</v>
      </c>
      <c r="DA1" s="471">
        <f t="shared" ref="DA1" si="102">CZ1+1</f>
        <v>105</v>
      </c>
      <c r="DB1" s="471">
        <f t="shared" ref="DB1" si="103">DA1+1</f>
        <v>106</v>
      </c>
      <c r="DC1" s="471">
        <f t="shared" ref="DC1" si="104">DB1+1</f>
        <v>107</v>
      </c>
      <c r="DD1" s="471">
        <f t="shared" ref="DD1" si="105">DC1+1</f>
        <v>108</v>
      </c>
      <c r="DE1" s="471">
        <f t="shared" ref="DE1" si="106">DD1+1</f>
        <v>109</v>
      </c>
      <c r="DF1" s="471">
        <f t="shared" ref="DF1" si="107">DE1+1</f>
        <v>110</v>
      </c>
      <c r="DG1" s="471">
        <f t="shared" ref="DG1" si="108">DF1+1</f>
        <v>111</v>
      </c>
      <c r="DH1" s="471">
        <f t="shared" ref="DH1" si="109">DG1+1</f>
        <v>112</v>
      </c>
      <c r="DI1" s="471">
        <f t="shared" ref="DI1" si="110">DH1+1</f>
        <v>113</v>
      </c>
      <c r="DJ1" s="471">
        <f t="shared" ref="DJ1" si="111">DI1+1</f>
        <v>114</v>
      </c>
      <c r="DK1" s="471">
        <f t="shared" ref="DK1" si="112">DJ1+1</f>
        <v>115</v>
      </c>
      <c r="DL1" s="471">
        <f t="shared" ref="DL1" si="113">DK1+1</f>
        <v>116</v>
      </c>
      <c r="DM1" s="471">
        <f t="shared" ref="DM1" si="114">DL1+1</f>
        <v>117</v>
      </c>
      <c r="DN1" s="471">
        <f t="shared" ref="DN1" si="115">DM1+1</f>
        <v>118</v>
      </c>
      <c r="DO1" s="471">
        <f t="shared" ref="DO1" si="116">DN1+1</f>
        <v>119</v>
      </c>
      <c r="DP1" s="471">
        <f t="shared" ref="DP1" si="117">DO1+1</f>
        <v>120</v>
      </c>
      <c r="DQ1" s="471">
        <f t="shared" ref="DQ1" si="118">DP1+1</f>
        <v>121</v>
      </c>
      <c r="DR1" s="471">
        <f t="shared" ref="DR1" si="119">DQ1+1</f>
        <v>122</v>
      </c>
      <c r="DS1" s="471">
        <f t="shared" ref="DS1" si="120">DR1+1</f>
        <v>123</v>
      </c>
      <c r="DT1" s="471">
        <f t="shared" ref="DT1" si="121">DS1+1</f>
        <v>124</v>
      </c>
      <c r="DU1" s="471">
        <f t="shared" ref="DU1" si="122">DT1+1</f>
        <v>125</v>
      </c>
      <c r="DV1" s="471">
        <f t="shared" ref="DV1" si="123">DU1+1</f>
        <v>126</v>
      </c>
      <c r="DW1" s="471">
        <f t="shared" ref="DW1" si="124">DV1+1</f>
        <v>127</v>
      </c>
      <c r="DX1" s="471">
        <f t="shared" ref="DX1" si="125">DW1+1</f>
        <v>128</v>
      </c>
      <c r="DY1" s="471">
        <f t="shared" ref="DY1" si="126">DX1+1</f>
        <v>129</v>
      </c>
      <c r="DZ1" s="471">
        <f t="shared" ref="DZ1" si="127">DY1+1</f>
        <v>130</v>
      </c>
      <c r="EA1" s="471">
        <f t="shared" ref="EA1" si="128">DZ1+1</f>
        <v>131</v>
      </c>
      <c r="EB1" s="471">
        <f t="shared" ref="EB1" si="129">EA1+1</f>
        <v>132</v>
      </c>
      <c r="EC1" s="471">
        <f t="shared" ref="EC1" si="130">EB1+1</f>
        <v>133</v>
      </c>
      <c r="ED1" s="471">
        <f t="shared" ref="ED1" si="131">EC1+1</f>
        <v>134</v>
      </c>
      <c r="EE1" s="471">
        <f t="shared" ref="EE1" si="132">ED1+1</f>
        <v>135</v>
      </c>
      <c r="EF1" s="471">
        <f t="shared" ref="EF1" si="133">EE1+1</f>
        <v>136</v>
      </c>
      <c r="EG1" s="471">
        <f t="shared" ref="EG1" si="134">EF1+1</f>
        <v>137</v>
      </c>
      <c r="EH1" s="471">
        <f t="shared" ref="EH1" si="135">EG1+1</f>
        <v>138</v>
      </c>
      <c r="EI1" s="471">
        <f t="shared" ref="EI1" si="136">EH1+1</f>
        <v>139</v>
      </c>
      <c r="EJ1" s="471">
        <f t="shared" ref="EJ1" si="137">EI1+1</f>
        <v>140</v>
      </c>
      <c r="EK1" s="471">
        <f t="shared" ref="EK1" si="138">EJ1+1</f>
        <v>141</v>
      </c>
      <c r="EL1" s="471">
        <f t="shared" ref="EL1" si="139">EK1+1</f>
        <v>142</v>
      </c>
      <c r="EM1" s="471">
        <f t="shared" ref="EM1" si="140">EL1+1</f>
        <v>143</v>
      </c>
      <c r="EN1" s="471">
        <f t="shared" ref="EN1" si="141">EM1+1</f>
        <v>144</v>
      </c>
      <c r="EO1" s="471">
        <f t="shared" ref="EO1" si="142">EN1+1</f>
        <v>145</v>
      </c>
      <c r="EP1" s="471">
        <f t="shared" ref="EP1" si="143">EO1+1</f>
        <v>146</v>
      </c>
      <c r="EQ1" s="471">
        <f t="shared" ref="EQ1" si="144">EP1+1</f>
        <v>147</v>
      </c>
      <c r="ER1" s="471">
        <f t="shared" ref="ER1" si="145">EQ1+1</f>
        <v>148</v>
      </c>
      <c r="ES1" s="471">
        <f t="shared" ref="ES1" si="146">ER1+1</f>
        <v>149</v>
      </c>
      <c r="ET1" s="471">
        <f t="shared" ref="ET1" si="147">ES1+1</f>
        <v>150</v>
      </c>
      <c r="EU1" s="471">
        <f t="shared" ref="EU1" si="148">ET1+1</f>
        <v>151</v>
      </c>
      <c r="EV1" s="471">
        <f t="shared" ref="EV1" si="149">EU1+1</f>
        <v>152</v>
      </c>
      <c r="EW1" s="471">
        <f t="shared" ref="EW1" si="150">EV1+1</f>
        <v>153</v>
      </c>
      <c r="EX1" s="471">
        <f t="shared" ref="EX1" si="151">EW1+1</f>
        <v>154</v>
      </c>
      <c r="EY1" s="471">
        <f t="shared" ref="EY1" si="152">EX1+1</f>
        <v>155</v>
      </c>
      <c r="EZ1" s="471">
        <f t="shared" ref="EZ1" si="153">EY1+1</f>
        <v>156</v>
      </c>
      <c r="FA1" s="471">
        <f t="shared" ref="FA1" si="154">EZ1+1</f>
        <v>157</v>
      </c>
      <c r="FB1" s="471">
        <f t="shared" ref="FB1" si="155">FA1+1</f>
        <v>158</v>
      </c>
      <c r="FC1" s="471">
        <f t="shared" ref="FC1" si="156">FB1+1</f>
        <v>159</v>
      </c>
      <c r="FD1" s="471">
        <f t="shared" ref="FD1" si="157">FC1+1</f>
        <v>160</v>
      </c>
      <c r="FE1" s="471">
        <f t="shared" ref="FE1" si="158">FD1+1</f>
        <v>161</v>
      </c>
      <c r="FF1" s="471">
        <f t="shared" ref="FF1" si="159">FE1+1</f>
        <v>162</v>
      </c>
      <c r="FG1" s="471">
        <f t="shared" ref="FG1" si="160">FF1+1</f>
        <v>163</v>
      </c>
      <c r="FH1" s="471">
        <f t="shared" ref="FH1" si="161">FG1+1</f>
        <v>164</v>
      </c>
      <c r="FI1" s="471">
        <f t="shared" ref="FI1" si="162">FH1+1</f>
        <v>165</v>
      </c>
      <c r="FJ1" s="471">
        <f t="shared" ref="FJ1" si="163">FI1+1</f>
        <v>166</v>
      </c>
      <c r="FK1" s="471">
        <f t="shared" ref="FK1" si="164">FJ1+1</f>
        <v>167</v>
      </c>
      <c r="FL1" s="471">
        <f t="shared" ref="FL1" si="165">FK1+1</f>
        <v>168</v>
      </c>
      <c r="FM1" s="471">
        <f t="shared" ref="FM1" si="166">FL1+1</f>
        <v>169</v>
      </c>
      <c r="FN1" s="471">
        <f t="shared" ref="FN1" si="167">FM1+1</f>
        <v>170</v>
      </c>
      <c r="FO1" s="471">
        <f t="shared" ref="FO1" si="168">FN1+1</f>
        <v>171</v>
      </c>
      <c r="FP1" s="471">
        <f t="shared" ref="FP1" si="169">FO1+1</f>
        <v>172</v>
      </c>
      <c r="FQ1" s="471">
        <f t="shared" ref="FQ1" si="170">FP1+1</f>
        <v>173</v>
      </c>
      <c r="FR1" s="471">
        <f t="shared" ref="FR1" si="171">FQ1+1</f>
        <v>174</v>
      </c>
      <c r="FS1" s="471">
        <f t="shared" ref="FS1" si="172">FR1+1</f>
        <v>175</v>
      </c>
      <c r="FT1" s="471">
        <f t="shared" ref="FT1" si="173">FS1+1</f>
        <v>176</v>
      </c>
      <c r="FU1" s="471">
        <f t="shared" ref="FU1" si="174">FT1+1</f>
        <v>177</v>
      </c>
      <c r="FV1" s="471">
        <f t="shared" ref="FV1" si="175">FU1+1</f>
        <v>178</v>
      </c>
      <c r="FW1" s="471">
        <f t="shared" ref="FW1" si="176">FV1+1</f>
        <v>179</v>
      </c>
      <c r="FX1" s="471">
        <f t="shared" ref="FX1" si="177">FW1+1</f>
        <v>180</v>
      </c>
      <c r="FY1" s="471">
        <f t="shared" ref="FY1" si="178">FX1+1</f>
        <v>181</v>
      </c>
      <c r="FZ1" s="471">
        <f t="shared" ref="FZ1" si="179">FY1+1</f>
        <v>182</v>
      </c>
      <c r="GA1" s="471">
        <f t="shared" ref="GA1" si="180">FZ1+1</f>
        <v>183</v>
      </c>
      <c r="GB1" s="471">
        <f t="shared" ref="GB1" si="181">GA1+1</f>
        <v>184</v>
      </c>
      <c r="GC1" s="471">
        <f t="shared" ref="GC1" si="182">GB1+1</f>
        <v>185</v>
      </c>
      <c r="GD1" s="471">
        <f t="shared" ref="GD1" si="183">GC1+1</f>
        <v>186</v>
      </c>
      <c r="GE1" s="471">
        <f t="shared" ref="GE1" si="184">GD1+1</f>
        <v>187</v>
      </c>
      <c r="GF1" s="471">
        <f t="shared" ref="GF1" si="185">GE1+1</f>
        <v>188</v>
      </c>
      <c r="GG1" s="471">
        <f t="shared" ref="GG1" si="186">GF1+1</f>
        <v>189</v>
      </c>
      <c r="GH1" s="471">
        <f t="shared" ref="GH1" si="187">GG1+1</f>
        <v>190</v>
      </c>
      <c r="GI1" s="471">
        <f t="shared" ref="GI1" si="188">GH1+1</f>
        <v>191</v>
      </c>
      <c r="GJ1" s="471">
        <f t="shared" ref="GJ1" si="189">GI1+1</f>
        <v>192</v>
      </c>
      <c r="GK1" s="471">
        <f t="shared" ref="GK1" si="190">GJ1+1</f>
        <v>193</v>
      </c>
      <c r="GL1" s="471">
        <f t="shared" ref="GL1" si="191">GK1+1</f>
        <v>194</v>
      </c>
      <c r="GM1" s="471">
        <f t="shared" ref="GM1" si="192">GL1+1</f>
        <v>195</v>
      </c>
      <c r="GN1" s="471">
        <f t="shared" ref="GN1" si="193">GM1+1</f>
        <v>196</v>
      </c>
      <c r="GO1" s="471">
        <f t="shared" ref="GO1" si="194">GN1+1</f>
        <v>197</v>
      </c>
      <c r="GP1" s="471">
        <f t="shared" ref="GP1" si="195">GO1+1</f>
        <v>198</v>
      </c>
    </row>
    <row r="2" spans="1:198" ht="25.2" thickBot="1" x14ac:dyDescent="0.35">
      <c r="A2" s="1" t="s">
        <v>217</v>
      </c>
      <c r="T2" s="45"/>
      <c r="U2" s="45"/>
      <c r="AE2" s="45"/>
      <c r="AF2" s="45"/>
      <c r="AG2" s="45"/>
      <c r="AH2" s="45"/>
      <c r="AI2" s="45"/>
      <c r="AJ2" s="320">
        <v>0.96</v>
      </c>
      <c r="AK2" s="321" t="s">
        <v>262</v>
      </c>
      <c r="AL2" s="329"/>
      <c r="AM2" s="329"/>
      <c r="AN2" s="329"/>
      <c r="AO2" s="329"/>
      <c r="AP2" s="329"/>
      <c r="AQ2" s="322">
        <v>1.01</v>
      </c>
      <c r="AR2" s="321" t="s">
        <v>269</v>
      </c>
      <c r="AS2" s="329"/>
      <c r="AT2" s="329"/>
      <c r="AU2" s="329"/>
      <c r="AV2" s="329"/>
      <c r="AW2" s="329"/>
      <c r="AX2" s="329"/>
      <c r="AY2" s="322"/>
      <c r="AZ2" s="330"/>
      <c r="CF2" s="14"/>
      <c r="CK2" s="204"/>
      <c r="CL2" s="204"/>
      <c r="CN2" s="274" t="e">
        <f>CN4/CN3</f>
        <v>#DIV/0!</v>
      </c>
      <c r="CO2" s="274">
        <f t="shared" ref="CO2:CQ2" si="196">CO4/CO3</f>
        <v>1.3109026833912751</v>
      </c>
      <c r="CP2" s="274">
        <f t="shared" si="196"/>
        <v>1.1122118634491716</v>
      </c>
      <c r="CQ2" s="274" t="e">
        <f t="shared" si="196"/>
        <v>#DIV/0!</v>
      </c>
    </row>
    <row r="3" spans="1:198" ht="30.6" thickBot="1" x14ac:dyDescent="0.45">
      <c r="A3" s="1" t="s">
        <v>754</v>
      </c>
      <c r="B3" s="220"/>
      <c r="C3" s="2"/>
      <c r="D3" s="2"/>
      <c r="E3" s="2"/>
      <c r="F3" s="2"/>
      <c r="G3" s="3"/>
      <c r="H3" s="211"/>
      <c r="I3" s="2"/>
      <c r="J3" s="225"/>
      <c r="K3" s="93"/>
      <c r="L3" s="93"/>
      <c r="M3" s="93"/>
      <c r="N3" s="93"/>
      <c r="O3" s="146"/>
      <c r="P3" s="80"/>
      <c r="Q3" s="80"/>
      <c r="R3" s="80"/>
      <c r="S3" s="81"/>
      <c r="T3" s="82"/>
      <c r="U3" s="83"/>
      <c r="V3" s="84"/>
      <c r="W3" s="84"/>
      <c r="X3" s="190"/>
      <c r="Y3" s="83"/>
      <c r="Z3" s="84"/>
      <c r="AA3" s="84"/>
      <c r="AB3" s="85"/>
      <c r="AC3" s="85"/>
      <c r="AD3" s="87"/>
      <c r="AE3" s="258"/>
      <c r="AF3" s="258"/>
      <c r="AG3" s="258"/>
      <c r="AH3" s="258"/>
      <c r="AI3" s="258"/>
      <c r="AJ3" s="323">
        <v>0.97</v>
      </c>
      <c r="AK3" s="324" t="s">
        <v>263</v>
      </c>
      <c r="AL3" s="331"/>
      <c r="AM3" s="331"/>
      <c r="AN3" s="331"/>
      <c r="AO3" s="331"/>
      <c r="AP3" s="331"/>
      <c r="AQ3" s="325">
        <v>1.02</v>
      </c>
      <c r="AR3" s="324" t="s">
        <v>270</v>
      </c>
      <c r="AS3" s="331"/>
      <c r="AT3" s="331"/>
      <c r="AU3" s="331"/>
      <c r="AV3" s="331"/>
      <c r="AW3" s="331"/>
      <c r="AX3" s="331"/>
      <c r="AY3" s="332"/>
      <c r="AZ3" s="333"/>
      <c r="BA3" s="96"/>
      <c r="BB3" s="96"/>
      <c r="BC3" s="96"/>
      <c r="BD3" s="96"/>
      <c r="BE3" s="96"/>
      <c r="BF3" s="6"/>
      <c r="BG3" s="290"/>
      <c r="BH3" s="290"/>
      <c r="BI3" s="9"/>
      <c r="BJ3" s="10"/>
      <c r="BK3" s="10"/>
      <c r="BL3" s="473"/>
      <c r="BM3" s="5" t="s">
        <v>142</v>
      </c>
      <c r="BN3" s="5"/>
      <c r="BO3" s="5"/>
      <c r="BP3" s="5"/>
      <c r="BQ3" s="5"/>
      <c r="BR3" s="5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H3" s="101"/>
      <c r="CI3" s="93"/>
      <c r="CK3" s="216"/>
      <c r="CL3" s="205" t="s">
        <v>169</v>
      </c>
      <c r="CM3" s="120"/>
      <c r="CN3" s="163">
        <f>CN10</f>
        <v>2.8331114660134489</v>
      </c>
      <c r="CO3" s="163">
        <f>CO10</f>
        <v>1.6889902818083384</v>
      </c>
      <c r="CP3" s="163">
        <f>CP10</f>
        <v>1.8833028354976902</v>
      </c>
      <c r="CQ3" s="163">
        <f>CQ10</f>
        <v>0.98336332153094619</v>
      </c>
      <c r="CR3" s="188"/>
      <c r="CS3" s="189"/>
      <c r="CT3" s="188"/>
      <c r="CU3" s="46"/>
      <c r="CV3" s="195" t="s">
        <v>152</v>
      </c>
      <c r="CW3" s="129">
        <f>CW174</f>
        <v>0.72</v>
      </c>
      <c r="CX3" s="188" t="s">
        <v>133</v>
      </c>
      <c r="CY3" s="188" t="s">
        <v>134</v>
      </c>
      <c r="CZ3" s="152"/>
      <c r="DA3" s="132">
        <v>1</v>
      </c>
      <c r="DB3" s="11" t="s">
        <v>3</v>
      </c>
      <c r="DC3" s="12"/>
      <c r="DD3" s="180" t="s">
        <v>113</v>
      </c>
      <c r="DE3" s="120" t="s">
        <v>82</v>
      </c>
      <c r="DF3" s="141"/>
      <c r="DG3" s="127">
        <v>1</v>
      </c>
      <c r="DH3" s="132">
        <v>1</v>
      </c>
      <c r="DI3" s="132">
        <v>1</v>
      </c>
      <c r="DJ3" s="132">
        <v>1</v>
      </c>
      <c r="DK3" s="132">
        <v>0.5</v>
      </c>
      <c r="DL3" s="127">
        <v>0.25</v>
      </c>
      <c r="DM3" s="132">
        <v>0.5</v>
      </c>
      <c r="DO3" s="120" t="s">
        <v>82</v>
      </c>
      <c r="DP3" s="120" t="s">
        <v>82</v>
      </c>
      <c r="DR3" s="120" t="s">
        <v>82</v>
      </c>
      <c r="DT3" s="120" t="s">
        <v>82</v>
      </c>
      <c r="DV3" s="127"/>
      <c r="DW3" s="127"/>
      <c r="DX3" s="127">
        <v>0.25</v>
      </c>
      <c r="DZ3" s="120" t="s">
        <v>82</v>
      </c>
      <c r="EB3" s="127"/>
      <c r="EC3" s="127">
        <v>0.33333000000000002</v>
      </c>
      <c r="ED3" s="127">
        <v>0.33329999999999999</v>
      </c>
      <c r="EE3" s="120" t="s">
        <v>82</v>
      </c>
      <c r="EG3" s="127">
        <v>1</v>
      </c>
      <c r="EH3" s="127"/>
      <c r="EI3" s="127">
        <v>0.25</v>
      </c>
      <c r="EJ3" s="127">
        <v>0.25</v>
      </c>
      <c r="EK3" s="120" t="s">
        <v>82</v>
      </c>
      <c r="EM3" s="127">
        <v>0.5</v>
      </c>
      <c r="EN3" s="127"/>
      <c r="EO3" s="127">
        <v>0.25</v>
      </c>
      <c r="EP3" s="127">
        <v>0.25</v>
      </c>
      <c r="EQ3" s="120" t="s">
        <v>82</v>
      </c>
      <c r="ES3" s="127">
        <v>0.5</v>
      </c>
      <c r="ET3" s="127"/>
      <c r="EU3" s="127">
        <v>0.25</v>
      </c>
      <c r="EV3" s="127">
        <v>0.25</v>
      </c>
      <c r="EW3" s="120" t="s">
        <v>82</v>
      </c>
      <c r="EX3" s="141"/>
      <c r="EY3" s="127">
        <v>1</v>
      </c>
      <c r="EZ3" s="132">
        <v>1</v>
      </c>
      <c r="FA3" s="132">
        <v>0.5</v>
      </c>
      <c r="FB3" s="127">
        <v>0.25</v>
      </c>
      <c r="FC3" s="120" t="s">
        <v>82</v>
      </c>
      <c r="FD3" s="141"/>
      <c r="FE3" s="127">
        <v>1</v>
      </c>
      <c r="FF3" s="132">
        <v>1</v>
      </c>
      <c r="FG3" s="132">
        <v>1</v>
      </c>
      <c r="FH3" s="132">
        <v>0.5</v>
      </c>
      <c r="FI3" s="127">
        <v>0.25</v>
      </c>
      <c r="FJ3" s="120" t="s">
        <v>82</v>
      </c>
      <c r="FK3" s="141"/>
      <c r="FL3" s="127">
        <v>1</v>
      </c>
      <c r="FM3" s="132">
        <v>1</v>
      </c>
      <c r="FN3" s="132">
        <v>0.5</v>
      </c>
      <c r="FO3" s="127">
        <v>0.25</v>
      </c>
      <c r="FR3" s="120"/>
      <c r="FS3" s="36"/>
      <c r="FT3" s="36"/>
      <c r="FU3" s="481"/>
      <c r="FV3" s="504"/>
      <c r="FW3" s="18"/>
      <c r="FX3" s="18"/>
      <c r="FY3" s="18"/>
      <c r="FZ3" s="18"/>
      <c r="GB3" s="36"/>
      <c r="GC3" s="481"/>
      <c r="GD3" s="8"/>
      <c r="GE3" s="8"/>
      <c r="GF3" s="8"/>
      <c r="GG3" s="8"/>
      <c r="GI3" s="18"/>
      <c r="GJ3" s="18"/>
      <c r="GK3" s="18"/>
      <c r="GL3" s="18"/>
      <c r="GM3" s="18"/>
      <c r="GN3" s="18"/>
      <c r="GO3" s="18"/>
      <c r="GP3" s="18"/>
    </row>
    <row r="4" spans="1:198" ht="19.2" thickBot="1" x14ac:dyDescent="0.35">
      <c r="A4" s="213" t="s">
        <v>137</v>
      </c>
      <c r="O4" s="245"/>
      <c r="P4" s="246"/>
      <c r="Q4" s="247"/>
      <c r="R4" s="246"/>
      <c r="S4" s="248" t="s">
        <v>281</v>
      </c>
      <c r="T4" s="249"/>
      <c r="U4" s="250"/>
      <c r="V4" s="251"/>
      <c r="W4" s="251"/>
      <c r="X4" s="251"/>
      <c r="Y4" s="251"/>
      <c r="Z4" s="251"/>
      <c r="AA4" s="250"/>
      <c r="AB4" s="252"/>
      <c r="AC4" s="252"/>
      <c r="AD4" s="277"/>
      <c r="AE4" s="256"/>
      <c r="AF4" s="256"/>
      <c r="AG4" s="256"/>
      <c r="AH4" s="256"/>
      <c r="AI4" s="256"/>
      <c r="AJ4" s="323">
        <v>0.98</v>
      </c>
      <c r="AK4" s="324" t="s">
        <v>264</v>
      </c>
      <c r="AL4" s="334"/>
      <c r="AM4" s="334"/>
      <c r="AN4" s="334"/>
      <c r="AO4" s="334"/>
      <c r="AP4" s="334"/>
      <c r="AQ4" s="325">
        <v>1.02</v>
      </c>
      <c r="AR4" s="324" t="s">
        <v>268</v>
      </c>
      <c r="AS4" s="334"/>
      <c r="AT4" s="334"/>
      <c r="AU4" s="334"/>
      <c r="AV4" s="334"/>
      <c r="AW4" s="334"/>
      <c r="AX4" s="334"/>
      <c r="AY4" s="291"/>
      <c r="AZ4" s="335"/>
      <c r="BA4" s="287"/>
      <c r="BB4" s="97"/>
      <c r="BC4" s="97"/>
      <c r="BD4" s="97"/>
      <c r="BE4" s="97"/>
      <c r="BF4" s="17"/>
      <c r="BG4" s="291"/>
      <c r="BH4" s="291"/>
      <c r="BI4" s="19"/>
      <c r="BJ4" s="10"/>
      <c r="BK4" s="10"/>
      <c r="BM4" s="373" t="s">
        <v>282</v>
      </c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F4" s="22"/>
      <c r="CH4" s="102"/>
      <c r="CK4" s="215"/>
      <c r="CL4" s="206">
        <v>100</v>
      </c>
      <c r="CM4" s="121"/>
      <c r="CN4" s="275" t="e">
        <f>MAXA(CN10:CN250)</f>
        <v>#DIV/0!</v>
      </c>
      <c r="CO4" s="275">
        <f>MAXA(CO10:CO250)</f>
        <v>2.214101892644337</v>
      </c>
      <c r="CP4" s="275">
        <f>MAXA(CP10:CP250)</f>
        <v>2.0946317561079946</v>
      </c>
      <c r="CQ4" s="275" t="e">
        <f>MAXA(CQ10:CQ250)</f>
        <v>#DIV/0!</v>
      </c>
      <c r="CR4" s="129"/>
      <c r="CS4" s="129">
        <f>CS146</f>
        <v>0.91</v>
      </c>
      <c r="CT4" s="129">
        <f>CT146</f>
        <v>0.90315789473684216</v>
      </c>
      <c r="CU4" s="158"/>
      <c r="CV4" s="195" t="s">
        <v>151</v>
      </c>
      <c r="CW4" s="129">
        <f>CW146</f>
        <v>0.83</v>
      </c>
      <c r="CX4" s="129">
        <f>CX146</f>
        <v>0.83</v>
      </c>
      <c r="CY4" s="129">
        <f>CY146</f>
        <v>0.91</v>
      </c>
      <c r="CZ4" s="129">
        <f>CZ146</f>
        <v>0.94</v>
      </c>
      <c r="DA4" s="132">
        <v>2</v>
      </c>
      <c r="DB4" s="20" t="s">
        <v>4</v>
      </c>
      <c r="DC4" s="21"/>
      <c r="DD4" s="180" t="s">
        <v>114</v>
      </c>
      <c r="DE4" s="121"/>
      <c r="DF4" s="141" t="s">
        <v>98</v>
      </c>
      <c r="DG4" s="128" t="e">
        <f>DG6/DG5</f>
        <v>#REF!</v>
      </c>
      <c r="DH4" s="138" t="e">
        <f>DH6-DH5</f>
        <v>#REF!</v>
      </c>
      <c r="DI4" s="138" t="e">
        <f>DI6-DI5</f>
        <v>#REF!</v>
      </c>
      <c r="DJ4" s="138" t="e">
        <f>DJ6-DJ5</f>
        <v>#REF!</v>
      </c>
      <c r="DK4" s="138" t="e">
        <f>DK6-DK5</f>
        <v>#REF!</v>
      </c>
      <c r="DL4" s="128" t="e">
        <f>DL6/DL5</f>
        <v>#REF!</v>
      </c>
      <c r="DM4" s="138" t="e">
        <f>DM6-DM5</f>
        <v>#REF!</v>
      </c>
      <c r="DO4" s="121">
        <v>1.02</v>
      </c>
      <c r="DP4" s="121">
        <v>1</v>
      </c>
      <c r="DR4" s="121">
        <v>0.4</v>
      </c>
      <c r="DT4" s="121">
        <v>0.25</v>
      </c>
      <c r="DV4" s="128" t="e">
        <f>DV6/DV5</f>
        <v>#REF!</v>
      </c>
      <c r="DW4" s="128" t="e">
        <f>DW6/DW5</f>
        <v>#REF!</v>
      </c>
      <c r="DX4" s="128" t="e">
        <f>DX6/DX5</f>
        <v>#REF!</v>
      </c>
      <c r="DZ4" s="121">
        <v>0.15</v>
      </c>
      <c r="EB4" s="128" t="e">
        <f>EB6/EB5</f>
        <v>#REF!</v>
      </c>
      <c r="EC4" s="128" t="e">
        <f>EC6/EC5</f>
        <v>#REF!</v>
      </c>
      <c r="ED4" s="128" t="e">
        <f>ED6/ED5</f>
        <v>#REF!</v>
      </c>
      <c r="EE4" s="121">
        <v>0.5</v>
      </c>
      <c r="EG4" s="128" t="e">
        <f>EG6/EG5</f>
        <v>#REF!</v>
      </c>
      <c r="EH4" s="128" t="e">
        <f>EH6/EH5</f>
        <v>#REF!</v>
      </c>
      <c r="EI4" s="128" t="e">
        <f>EI6/EI5</f>
        <v>#REF!</v>
      </c>
      <c r="EJ4" s="128" t="e">
        <f>EJ6/EJ5</f>
        <v>#REF!</v>
      </c>
      <c r="EK4" s="121">
        <v>0.6</v>
      </c>
      <c r="EM4" s="128" t="e">
        <f>EM6/EM5</f>
        <v>#REF!</v>
      </c>
      <c r="EN4" s="128" t="e">
        <f>EN6/EN5</f>
        <v>#REF!</v>
      </c>
      <c r="EO4" s="128" t="e">
        <f>EO6/EO5</f>
        <v>#REF!</v>
      </c>
      <c r="EP4" s="128" t="e">
        <f>EP6/EP5</f>
        <v>#REF!</v>
      </c>
      <c r="EQ4" s="121"/>
      <c r="ES4" s="128" t="e">
        <f>ES6/ES5</f>
        <v>#REF!</v>
      </c>
      <c r="ET4" s="128" t="e">
        <f>ET6/ET5</f>
        <v>#REF!</v>
      </c>
      <c r="EU4" s="128" t="e">
        <f>EU6/EU5</f>
        <v>#REF!</v>
      </c>
      <c r="EV4" s="128" t="e">
        <f>EV6/EV5</f>
        <v>#REF!</v>
      </c>
      <c r="EW4" s="121"/>
      <c r="EX4" s="141" t="s">
        <v>98</v>
      </c>
      <c r="EY4" s="128" t="e">
        <f>EY6/EY5</f>
        <v>#REF!</v>
      </c>
      <c r="EZ4" s="138" t="e">
        <f>EZ6/EZ5</f>
        <v>#REF!</v>
      </c>
      <c r="FA4" s="138" t="e">
        <f>FA6/FA5</f>
        <v>#REF!</v>
      </c>
      <c r="FB4" s="128" t="e">
        <f>FB6/FB5</f>
        <v>#REF!</v>
      </c>
      <c r="FC4" s="121"/>
      <c r="FD4" s="141" t="s">
        <v>98</v>
      </c>
      <c r="FE4" s="128" t="e">
        <f>FE6/FE5</f>
        <v>#REF!</v>
      </c>
      <c r="FF4" s="138" t="e">
        <f>FF6/FF5</f>
        <v>#REF!</v>
      </c>
      <c r="FG4" s="138" t="e">
        <f>FG6/FG5</f>
        <v>#REF!</v>
      </c>
      <c r="FH4" s="138" t="e">
        <f>FH6/FH5</f>
        <v>#REF!</v>
      </c>
      <c r="FI4" s="128" t="e">
        <f>FI6/FI5</f>
        <v>#REF!</v>
      </c>
      <c r="FJ4" s="121"/>
      <c r="FK4" s="141" t="s">
        <v>98</v>
      </c>
      <c r="FL4" s="128" t="e">
        <f>FL6/FL5</f>
        <v>#REF!</v>
      </c>
      <c r="FM4" s="138" t="e">
        <f>FM6/FM5</f>
        <v>#REF!</v>
      </c>
      <c r="FN4" s="138" t="e">
        <f>FN6/FN5</f>
        <v>#REF!</v>
      </c>
      <c r="FO4" s="128" t="e">
        <f>FO6/FO5</f>
        <v>#REF!</v>
      </c>
      <c r="FR4" s="121"/>
      <c r="FS4" s="479"/>
      <c r="FT4" s="18"/>
      <c r="FU4" s="481"/>
      <c r="FV4" s="504"/>
      <c r="FW4" s="18"/>
      <c r="FX4" s="18"/>
      <c r="FY4" s="18"/>
      <c r="FZ4" s="18"/>
      <c r="GB4" s="18"/>
      <c r="GC4" s="481"/>
      <c r="GD4" s="8"/>
      <c r="GE4" s="8"/>
      <c r="GF4" s="8"/>
      <c r="GG4" s="8"/>
      <c r="GI4" s="18"/>
      <c r="GJ4" s="18"/>
      <c r="GK4" s="18"/>
      <c r="GL4" s="18"/>
      <c r="GM4" s="18"/>
      <c r="GN4" s="18"/>
      <c r="GO4" s="18"/>
      <c r="GP4" s="18"/>
    </row>
    <row r="5" spans="1:198" ht="20.100000000000001" customHeight="1" thickBot="1" x14ac:dyDescent="0.35">
      <c r="A5" s="346" t="s">
        <v>138</v>
      </c>
      <c r="K5" s="232" t="s">
        <v>197</v>
      </c>
      <c r="L5" s="232" t="s">
        <v>197</v>
      </c>
      <c r="O5" s="253" t="s">
        <v>283</v>
      </c>
      <c r="P5" s="264"/>
      <c r="Q5" s="79"/>
      <c r="R5" s="16"/>
      <c r="S5" s="254"/>
      <c r="T5" s="241"/>
      <c r="U5" s="242"/>
      <c r="V5" s="243"/>
      <c r="W5" s="243"/>
      <c r="X5" s="243"/>
      <c r="Y5" s="243"/>
      <c r="Z5" s="243"/>
      <c r="AA5" s="242"/>
      <c r="AB5" s="244"/>
      <c r="AC5" s="244"/>
      <c r="AD5" s="372"/>
      <c r="AE5" s="256"/>
      <c r="AF5" s="256"/>
      <c r="AG5" s="256"/>
      <c r="AH5" s="256"/>
      <c r="AI5" s="256"/>
      <c r="AJ5" s="323">
        <v>0.99</v>
      </c>
      <c r="AK5" s="324" t="s">
        <v>265</v>
      </c>
      <c r="AL5" s="334"/>
      <c r="AM5" s="334"/>
      <c r="AN5" s="334"/>
      <c r="AO5" s="334"/>
      <c r="AP5" s="334"/>
      <c r="AQ5" s="325">
        <v>1.03</v>
      </c>
      <c r="AR5" s="324" t="s">
        <v>302</v>
      </c>
      <c r="AS5" s="334"/>
      <c r="AT5" s="334"/>
      <c r="AU5" s="334"/>
      <c r="AV5" s="334"/>
      <c r="AW5" s="334"/>
      <c r="AX5" s="334"/>
      <c r="AY5" s="291"/>
      <c r="AZ5" s="335"/>
      <c r="BA5" s="287"/>
      <c r="BB5" s="97"/>
      <c r="BC5" s="97"/>
      <c r="BD5" s="97"/>
      <c r="BE5" s="97"/>
      <c r="BF5" s="17"/>
      <c r="BG5" s="291"/>
      <c r="BH5" s="291"/>
      <c r="BI5" s="19"/>
      <c r="BJ5" s="10"/>
      <c r="BK5" s="10"/>
      <c r="BM5" s="351"/>
      <c r="BN5" s="264"/>
      <c r="BO5" s="79"/>
      <c r="BP5" s="79"/>
      <c r="BQ5" s="79"/>
      <c r="BR5" s="268" t="s">
        <v>214</v>
      </c>
      <c r="BS5" s="269">
        <f>BS9</f>
        <v>-0.3</v>
      </c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21"/>
      <c r="CF5" s="22"/>
      <c r="CI5" s="26"/>
      <c r="CK5" s="216"/>
      <c r="CL5" s="345" t="s">
        <v>276</v>
      </c>
      <c r="CM5" s="122"/>
      <c r="CN5" s="196" t="s">
        <v>194</v>
      </c>
      <c r="CO5" s="196" t="s">
        <v>273</v>
      </c>
      <c r="CP5" s="196" t="s">
        <v>274</v>
      </c>
      <c r="CQ5" s="196" t="s">
        <v>275</v>
      </c>
      <c r="CR5" s="187"/>
      <c r="CS5" s="187">
        <f>CS6/CS4-1</f>
        <v>0.27472527472527464</v>
      </c>
      <c r="CT5" s="187">
        <f>CT6/CT4-1</f>
        <v>0.20512820512820507</v>
      </c>
      <c r="CU5" s="158"/>
      <c r="CV5" s="199" t="s">
        <v>126</v>
      </c>
      <c r="CW5" s="187">
        <f>CW6/CW4-1</f>
        <v>0.3855421686746987</v>
      </c>
      <c r="CX5" s="187">
        <f>CX6/CX4-1</f>
        <v>0.24096385542168686</v>
      </c>
      <c r="CY5" s="187">
        <f>CY6/CY4-1</f>
        <v>0.25274725274725252</v>
      </c>
      <c r="CZ5" s="187">
        <f>CZ6/CZ4-1</f>
        <v>0.26595744680851063</v>
      </c>
      <c r="DA5" s="132">
        <v>0.33300000000000002</v>
      </c>
      <c r="DB5" s="24">
        <v>8.6999999999999993</v>
      </c>
      <c r="DC5" s="21">
        <v>8.6999999999999993</v>
      </c>
      <c r="DD5" s="180" t="s">
        <v>115</v>
      </c>
      <c r="DE5" s="122"/>
      <c r="DF5" s="141" t="s">
        <v>99</v>
      </c>
      <c r="DG5" s="129" t="e">
        <f>MINA(DG10:DG276)</f>
        <v>#REF!</v>
      </c>
      <c r="DH5" s="133" t="e">
        <f>MINA(DH10:DH276)</f>
        <v>#REF!</v>
      </c>
      <c r="DI5" s="133" t="e">
        <f>MINA(DI10:DI276)</f>
        <v>#REF!</v>
      </c>
      <c r="DJ5" s="133" t="e">
        <f>MINA(DJ10:DJ276)</f>
        <v>#REF!</v>
      </c>
      <c r="DK5" s="133" t="e">
        <f>MINA(DK10:DK276)</f>
        <v>#REF!</v>
      </c>
      <c r="DL5" s="129" t="e">
        <f>MINA(DL10:DL276)</f>
        <v>#REF!</v>
      </c>
      <c r="DM5" s="133" t="e">
        <f>MINA(DM10:DM276)</f>
        <v>#REF!</v>
      </c>
      <c r="DO5" s="122">
        <v>0</v>
      </c>
      <c r="DP5" s="122"/>
      <c r="DR5" s="122"/>
      <c r="DT5" s="122"/>
      <c r="DV5" s="129" t="e">
        <f>MINA(DV10:DV276)</f>
        <v>#REF!</v>
      </c>
      <c r="DW5" s="129" t="e">
        <f>MINA(DW10:DW276)</f>
        <v>#REF!</v>
      </c>
      <c r="DX5" s="129" t="e">
        <f>MINA(DX10:DX276)</f>
        <v>#REF!</v>
      </c>
      <c r="DY5" t="e">
        <f>DV5*DW5*DX5</f>
        <v>#REF!</v>
      </c>
      <c r="DZ5" s="122"/>
      <c r="EB5" s="129" t="e">
        <f>MINA(EB10:EB276)</f>
        <v>#REF!</v>
      </c>
      <c r="EC5" s="129" t="e">
        <f>MINA(EC10:EC276)</f>
        <v>#REF!</v>
      </c>
      <c r="ED5" s="129" t="e">
        <f>MINA(ED10:ED276)</f>
        <v>#REF!</v>
      </c>
      <c r="EE5" s="122"/>
      <c r="EG5" s="129" t="e">
        <f>MINA(EG10:EG276)</f>
        <v>#REF!</v>
      </c>
      <c r="EH5" s="129" t="e">
        <f>MINA(EH10:EH276)</f>
        <v>#REF!</v>
      </c>
      <c r="EI5" s="129" t="e">
        <f>MINA(EI10:EI276)</f>
        <v>#REF!</v>
      </c>
      <c r="EJ5" s="129" t="e">
        <f>MINA(EJ10:EJ276)</f>
        <v>#REF!</v>
      </c>
      <c r="EK5" s="122"/>
      <c r="EM5" s="129" t="e">
        <f>MINA(EM10:EM276)</f>
        <v>#REF!</v>
      </c>
      <c r="EN5" s="129" t="e">
        <f>MINA(EN10:EN276)</f>
        <v>#REF!</v>
      </c>
      <c r="EO5" s="129" t="e">
        <f>MINA(EO10:EO276)</f>
        <v>#REF!</v>
      </c>
      <c r="EP5" s="129" t="e">
        <f>MINA(EP10:EP276)</f>
        <v>#REF!</v>
      </c>
      <c r="EQ5" s="122"/>
      <c r="ES5" s="129" t="e">
        <f>MINA(ES10:ES276)</f>
        <v>#REF!</v>
      </c>
      <c r="ET5" s="129" t="e">
        <f>MINA(ET10:ET276)</f>
        <v>#REF!</v>
      </c>
      <c r="EU5" s="129" t="e">
        <f>MINA(EU10:EU276)</f>
        <v>#REF!</v>
      </c>
      <c r="EV5" s="129" t="e">
        <f>MINA(EV10:EV276)</f>
        <v>#REF!</v>
      </c>
      <c r="EW5" s="122"/>
      <c r="EX5" s="141" t="s">
        <v>99</v>
      </c>
      <c r="EY5" s="129" t="e">
        <f>MINA(EY10:EY276)</f>
        <v>#REF!</v>
      </c>
      <c r="EZ5" s="133" t="e">
        <f>MINA(EZ10:EZ276)</f>
        <v>#REF!</v>
      </c>
      <c r="FA5" s="133" t="e">
        <f>MINA(FA10:FA276)</f>
        <v>#REF!</v>
      </c>
      <c r="FB5" s="129" t="e">
        <f>MINA(FB10:FB276)</f>
        <v>#REF!</v>
      </c>
      <c r="FC5" s="122"/>
      <c r="FD5" s="141" t="s">
        <v>99</v>
      </c>
      <c r="FE5" s="129" t="e">
        <f>MINA(FE10:FE276)</f>
        <v>#REF!</v>
      </c>
      <c r="FF5" s="133" t="e">
        <f>MINA(FF10:FF276)</f>
        <v>#REF!</v>
      </c>
      <c r="FG5" s="133" t="e">
        <f>MINA(FG10:FG276)</f>
        <v>#REF!</v>
      </c>
      <c r="FH5" s="133" t="e">
        <f>MINA(FH10:FH276)</f>
        <v>#REF!</v>
      </c>
      <c r="FI5" s="129" t="e">
        <f>MINA(FI10:FI276)</f>
        <v>#REF!</v>
      </c>
      <c r="FJ5" s="122"/>
      <c r="FK5" s="141" t="s">
        <v>99</v>
      </c>
      <c r="FL5" s="129" t="e">
        <f>MINA(FL10:FL276)</f>
        <v>#REF!</v>
      </c>
      <c r="FM5" s="133" t="e">
        <f>MINA(FM10:FM276)</f>
        <v>#REF!</v>
      </c>
      <c r="FN5" s="133" t="e">
        <f>MINA(FN10:FN276)</f>
        <v>#REF!</v>
      </c>
      <c r="FO5" s="129" t="e">
        <f>MINA(FO10:FO276)</f>
        <v>#REF!</v>
      </c>
      <c r="FR5" s="122"/>
      <c r="FS5" s="479"/>
      <c r="FT5" s="18"/>
      <c r="FU5" s="481"/>
      <c r="FV5" s="504"/>
      <c r="FW5" s="18"/>
      <c r="FX5" s="18"/>
      <c r="FY5" s="18"/>
      <c r="FZ5" s="18"/>
      <c r="GB5" s="18"/>
      <c r="GC5" s="481"/>
      <c r="GD5" s="8"/>
      <c r="GE5" s="8"/>
      <c r="GF5" s="8"/>
      <c r="GG5" s="8"/>
      <c r="GI5" s="18"/>
      <c r="GJ5" s="18"/>
      <c r="GK5" s="18"/>
      <c r="GL5" s="18"/>
      <c r="GM5" s="18"/>
      <c r="GN5" s="18"/>
      <c r="GO5" s="18"/>
      <c r="GP5" s="18"/>
    </row>
    <row r="6" spans="1:198" ht="21.6" thickBot="1" x14ac:dyDescent="0.45">
      <c r="A6" s="213" t="s">
        <v>215</v>
      </c>
      <c r="B6" s="221"/>
      <c r="K6" s="217" t="s">
        <v>194</v>
      </c>
      <c r="L6" s="217" t="s">
        <v>94</v>
      </c>
      <c r="O6" s="253"/>
      <c r="P6" s="264" t="s">
        <v>204</v>
      </c>
      <c r="Q6" s="79"/>
      <c r="R6" s="16"/>
      <c r="S6" s="254"/>
      <c r="T6" s="241"/>
      <c r="U6" s="242"/>
      <c r="V6" s="243"/>
      <c r="W6" s="243"/>
      <c r="X6" s="243"/>
      <c r="Y6" s="243"/>
      <c r="Z6" s="243"/>
      <c r="AA6" s="242"/>
      <c r="AB6" s="244"/>
      <c r="AC6" s="244"/>
      <c r="AD6" s="372"/>
      <c r="AE6" s="256"/>
      <c r="AF6" s="256"/>
      <c r="AG6" s="256"/>
      <c r="AH6" s="256"/>
      <c r="AI6" s="256"/>
      <c r="AJ6" s="326">
        <v>1</v>
      </c>
      <c r="AK6" s="327" t="s">
        <v>266</v>
      </c>
      <c r="AL6" s="336"/>
      <c r="AM6" s="336"/>
      <c r="AN6" s="336"/>
      <c r="AO6" s="336"/>
      <c r="AP6" s="336"/>
      <c r="AQ6" s="328">
        <v>1.05</v>
      </c>
      <c r="AR6" s="327" t="s">
        <v>267</v>
      </c>
      <c r="AS6" s="336"/>
      <c r="AT6" s="336"/>
      <c r="AU6" s="336"/>
      <c r="AV6" s="336"/>
      <c r="AW6" s="336"/>
      <c r="AX6" s="336"/>
      <c r="AY6" s="337"/>
      <c r="AZ6" s="338"/>
      <c r="BA6" s="287"/>
      <c r="BB6" s="97"/>
      <c r="BC6" s="97"/>
      <c r="BD6" s="97"/>
      <c r="BE6" s="97"/>
      <c r="BF6" s="17"/>
      <c r="BG6" s="291"/>
      <c r="BH6" s="291"/>
      <c r="BI6" s="19"/>
      <c r="BJ6" s="10"/>
      <c r="BK6" s="10"/>
      <c r="BM6" s="366"/>
      <c r="BN6" s="367"/>
      <c r="BO6" s="367" t="s">
        <v>77</v>
      </c>
      <c r="BP6" s="367"/>
      <c r="BQ6" s="367"/>
      <c r="BR6" s="367"/>
      <c r="BS6" s="368">
        <v>2</v>
      </c>
      <c r="BT6" s="365"/>
      <c r="BU6" s="359" t="s">
        <v>279</v>
      </c>
      <c r="BV6" s="360"/>
      <c r="BW6" s="361"/>
      <c r="BX6" s="362"/>
      <c r="BY6" s="363" t="s">
        <v>10</v>
      </c>
      <c r="BZ6" s="364"/>
      <c r="CA6" s="358" t="s">
        <v>41</v>
      </c>
      <c r="CB6" s="365"/>
      <c r="CC6" s="361"/>
      <c r="CD6" s="176"/>
      <c r="CE6" s="176"/>
      <c r="CF6" s="176"/>
      <c r="CI6" s="26"/>
      <c r="CK6" s="215"/>
      <c r="CL6" s="206">
        <v>5</v>
      </c>
      <c r="CM6" s="122"/>
      <c r="CN6" s="127" t="s">
        <v>271</v>
      </c>
      <c r="CO6" s="127" t="s">
        <v>272</v>
      </c>
      <c r="CP6" s="127" t="s">
        <v>272</v>
      </c>
      <c r="CQ6" s="127" t="s">
        <v>272</v>
      </c>
      <c r="CR6" s="129"/>
      <c r="CS6" s="129">
        <f>CS48</f>
        <v>1.1599999999999999</v>
      </c>
      <c r="CT6" s="129">
        <f>CT48</f>
        <v>1.088421052631579</v>
      </c>
      <c r="CU6" s="159"/>
      <c r="CV6" s="200" t="s">
        <v>70</v>
      </c>
      <c r="CW6" s="129">
        <f>CW48</f>
        <v>1.1499999999999999</v>
      </c>
      <c r="CX6" s="129">
        <f>CX48</f>
        <v>1.03</v>
      </c>
      <c r="CY6" s="129">
        <f>CY48</f>
        <v>1.1399999999999999</v>
      </c>
      <c r="CZ6" s="129">
        <f>CZ48</f>
        <v>1.19</v>
      </c>
      <c r="DA6" s="133"/>
      <c r="DB6" s="191" t="s">
        <v>6</v>
      </c>
      <c r="DD6" s="180" t="s">
        <v>116</v>
      </c>
      <c r="DE6" s="131"/>
      <c r="DF6" s="141" t="s">
        <v>100</v>
      </c>
      <c r="DG6" s="130" t="e">
        <f>MAXA(DG10:DG276)</f>
        <v>#REF!</v>
      </c>
      <c r="DH6" s="134" t="e">
        <f>MAXA(DH10:DH276)</f>
        <v>#REF!</v>
      </c>
      <c r="DI6" s="134" t="e">
        <f>MAXA(DI10:DI276)</f>
        <v>#REF!</v>
      </c>
      <c r="DJ6" s="134" t="e">
        <f>MAXA(DJ10:DJ276)</f>
        <v>#REF!</v>
      </c>
      <c r="DK6" s="133" t="e">
        <f>MAXA(DK10:DK276)</f>
        <v>#REF!</v>
      </c>
      <c r="DL6" s="129" t="e">
        <f>MAXA(DL10:DL276)</f>
        <v>#REF!</v>
      </c>
      <c r="DM6" s="133" t="e">
        <f>MAXA(DM10:DM276)</f>
        <v>#REF!</v>
      </c>
      <c r="DO6" s="123">
        <v>-0.5</v>
      </c>
      <c r="DP6" s="123">
        <v>0.5</v>
      </c>
      <c r="DR6" s="123">
        <v>0.9</v>
      </c>
      <c r="DT6" s="123">
        <v>0.9</v>
      </c>
      <c r="DV6" s="130" t="e">
        <f>MAXA(DV10:DV276)</f>
        <v>#REF!</v>
      </c>
      <c r="DW6" s="129" t="e">
        <f>MAXA(DW10:DW276)</f>
        <v>#REF!</v>
      </c>
      <c r="DX6" s="129" t="e">
        <f>MAXA(DX10:DX276)</f>
        <v>#REF!</v>
      </c>
      <c r="DY6" t="e">
        <f>DV6*DW6*DX6</f>
        <v>#REF!</v>
      </c>
      <c r="DZ6" s="123">
        <v>0.9</v>
      </c>
      <c r="EB6" s="130" t="e">
        <f>MAXA(EB10:EB276)</f>
        <v>#REF!</v>
      </c>
      <c r="EC6" s="129" t="e">
        <f>MAXA(EC10:EC276)</f>
        <v>#REF!</v>
      </c>
      <c r="ED6" s="129" t="e">
        <f>MAXA(ED10:ED276)</f>
        <v>#REF!</v>
      </c>
      <c r="EE6" s="123">
        <v>1</v>
      </c>
      <c r="EG6" s="130" t="e">
        <f>MAXA(EG10:EG276)</f>
        <v>#REF!</v>
      </c>
      <c r="EH6" s="130" t="e">
        <f>MAXA(EH10:EH276)</f>
        <v>#REF!</v>
      </c>
      <c r="EI6" s="129" t="e">
        <f>MAXA(EI10:EI276)</f>
        <v>#REF!</v>
      </c>
      <c r="EJ6" s="129" t="e">
        <f>MAXA(EJ10:EJ276)</f>
        <v>#REF!</v>
      </c>
      <c r="EK6" s="123">
        <v>-0.3</v>
      </c>
      <c r="EM6" s="130" t="e">
        <f>MAXA(EM10:EM276)</f>
        <v>#REF!</v>
      </c>
      <c r="EN6" s="130" t="e">
        <f>MAXA(EN10:EN276)</f>
        <v>#REF!</v>
      </c>
      <c r="EO6" s="129" t="e">
        <f>MAXA(EO10:EO276)</f>
        <v>#REF!</v>
      </c>
      <c r="EP6" s="129" t="e">
        <f>MAXA(EP10:EP276)</f>
        <v>#REF!</v>
      </c>
      <c r="EQ6" s="131"/>
      <c r="ES6" s="130" t="e">
        <f>MAXA(ES10:ES276)</f>
        <v>#REF!</v>
      </c>
      <c r="ET6" s="130" t="e">
        <f>MAXA(ET10:ET276)</f>
        <v>#REF!</v>
      </c>
      <c r="EU6" s="129" t="e">
        <f>MAXA(EU10:EU276)</f>
        <v>#REF!</v>
      </c>
      <c r="EV6" s="129" t="e">
        <f>MAXA(EV10:EV276)</f>
        <v>#REF!</v>
      </c>
      <c r="EW6" s="131">
        <v>2</v>
      </c>
      <c r="EX6" s="141" t="s">
        <v>100</v>
      </c>
      <c r="EY6" s="130" t="e">
        <f>MAXA(EY10:EY276)</f>
        <v>#REF!</v>
      </c>
      <c r="EZ6" s="134" t="e">
        <f>MAXA(EZ10:EZ276)</f>
        <v>#REF!</v>
      </c>
      <c r="FA6" s="133" t="e">
        <f>MAXA(FA10:FA276)</f>
        <v>#REF!</v>
      </c>
      <c r="FB6" s="129" t="e">
        <f>MAXA(FB10:FB276)</f>
        <v>#REF!</v>
      </c>
      <c r="FC6" s="131"/>
      <c r="FD6" s="141" t="s">
        <v>100</v>
      </c>
      <c r="FE6" s="130" t="e">
        <f>MAXA(FE10:FE276)</f>
        <v>#REF!</v>
      </c>
      <c r="FF6" s="134" t="e">
        <f>MAXA(FF10:FF276)</f>
        <v>#REF!</v>
      </c>
      <c r="FG6" s="134" t="e">
        <f>MAXA(FG10:FG276)</f>
        <v>#REF!</v>
      </c>
      <c r="FH6" s="133" t="e">
        <f>MAXA(FH10:FH276)</f>
        <v>#REF!</v>
      </c>
      <c r="FI6" s="129" t="e">
        <f>MAXA(FI10:FI276)</f>
        <v>#REF!</v>
      </c>
      <c r="FJ6" s="131">
        <v>4</v>
      </c>
      <c r="FK6" s="141" t="s">
        <v>100</v>
      </c>
      <c r="FL6" s="129" t="e">
        <f>MAXA(FL10:FL276)</f>
        <v>#REF!</v>
      </c>
      <c r="FM6" s="133" t="e">
        <f>MAXA(FM10:FM276)</f>
        <v>#REF!</v>
      </c>
      <c r="FN6" s="133" t="e">
        <f>MAXA(FN10:FN276)</f>
        <v>#REF!</v>
      </c>
      <c r="FO6" s="129" t="e">
        <f>MAXA(FO10:FO276)</f>
        <v>#REF!</v>
      </c>
      <c r="FR6" s="122"/>
      <c r="FS6" s="479"/>
      <c r="FT6" s="18"/>
      <c r="FU6" s="481"/>
      <c r="FV6" s="504"/>
      <c r="FW6" s="18"/>
      <c r="FX6" s="18"/>
      <c r="FY6" s="18"/>
      <c r="FZ6" s="18"/>
      <c r="GB6" s="18"/>
      <c r="GC6" s="481"/>
      <c r="GD6" s="8"/>
      <c r="GE6" s="8"/>
      <c r="GF6" s="8"/>
      <c r="GG6" s="8"/>
      <c r="GI6" s="18"/>
      <c r="GJ6" s="18"/>
      <c r="GK6" s="18"/>
      <c r="GL6" s="18"/>
      <c r="GM6" s="18"/>
      <c r="GN6" s="18"/>
      <c r="GO6" s="18"/>
      <c r="GP6" s="18"/>
    </row>
    <row r="7" spans="1:198" ht="21.6" thickBot="1" x14ac:dyDescent="0.45">
      <c r="A7" s="279">
        <f>Skaleringsfaktor</f>
        <v>0.1065</v>
      </c>
      <c r="B7" s="221"/>
      <c r="H7" s="278"/>
      <c r="J7" s="226"/>
      <c r="K7" s="236">
        <f>J10/AP10^0.667</f>
        <v>10.936960384789625</v>
      </c>
      <c r="L7" s="236">
        <f>J10/AM10/AM10</f>
        <v>0.65905707446902628</v>
      </c>
      <c r="O7" s="79"/>
      <c r="P7" s="80" t="s">
        <v>77</v>
      </c>
      <c r="Q7" s="80"/>
      <c r="R7" s="80"/>
      <c r="S7" s="81"/>
      <c r="T7" s="82"/>
      <c r="U7" s="83" t="s">
        <v>110</v>
      </c>
      <c r="V7" s="84"/>
      <c r="W7" s="84"/>
      <c r="X7" s="190"/>
      <c r="Y7" s="83" t="s">
        <v>10</v>
      </c>
      <c r="Z7" s="84"/>
      <c r="AA7" s="84"/>
      <c r="AB7" s="85" t="s">
        <v>41</v>
      </c>
      <c r="AC7" s="91"/>
      <c r="AD7" s="85"/>
      <c r="AE7" s="259"/>
      <c r="AF7" s="259"/>
      <c r="AG7" s="259"/>
      <c r="AH7" s="259"/>
      <c r="AI7" s="259"/>
      <c r="AJ7" s="292"/>
      <c r="AK7" s="312" t="s">
        <v>250</v>
      </c>
      <c r="AL7" s="89" t="s">
        <v>0</v>
      </c>
      <c r="AM7" s="89"/>
      <c r="AN7" s="89"/>
      <c r="AO7" s="89"/>
      <c r="AP7" s="89"/>
      <c r="AQ7" s="89" t="s">
        <v>81</v>
      </c>
      <c r="AR7" s="89"/>
      <c r="AS7" s="89"/>
      <c r="AT7" s="285" t="s">
        <v>221</v>
      </c>
      <c r="AU7" s="89"/>
      <c r="AV7" s="89"/>
      <c r="AW7" s="89"/>
      <c r="AX7" s="89"/>
      <c r="AY7" s="97"/>
      <c r="AZ7" s="97"/>
      <c r="BA7" s="238">
        <f>1/BA10</f>
        <v>43.267929480381767</v>
      </c>
      <c r="BB7" s="238">
        <f>1/BB10</f>
        <v>75.09104693877552</v>
      </c>
      <c r="BC7" s="238">
        <f>1/BC10</f>
        <v>27.756229591836743</v>
      </c>
      <c r="BD7" s="238">
        <f>1/BD10</f>
        <v>2.8526881720430106</v>
      </c>
      <c r="BE7" s="238">
        <f>1/BE10</f>
        <v>5.4695652173913043</v>
      </c>
      <c r="BF7" s="90" t="s">
        <v>1</v>
      </c>
      <c r="BG7" s="292"/>
      <c r="BH7" s="292"/>
      <c r="BI7" s="19"/>
      <c r="BJ7" s="10"/>
      <c r="BK7" s="10"/>
      <c r="BM7" s="357"/>
      <c r="BN7" s="352"/>
      <c r="BO7" s="352"/>
      <c r="BP7" s="352"/>
      <c r="BQ7" s="352"/>
      <c r="BR7" s="352"/>
      <c r="BS7" s="369" t="s">
        <v>277</v>
      </c>
      <c r="BT7" s="353"/>
      <c r="BU7" s="354"/>
      <c r="BV7" s="354"/>
      <c r="BW7" s="354"/>
      <c r="BX7" s="355"/>
      <c r="BY7" s="356"/>
      <c r="BZ7" s="176"/>
      <c r="CA7" s="353"/>
      <c r="CB7" s="353"/>
      <c r="CC7" s="354"/>
      <c r="CD7" s="176"/>
      <c r="CE7" s="176"/>
      <c r="CF7" s="176"/>
      <c r="CI7" s="26"/>
      <c r="CJ7" s="202" t="s">
        <v>167</v>
      </c>
      <c r="CK7" s="189"/>
      <c r="CL7" s="189"/>
      <c r="CM7" s="240">
        <f>ROUND(RS1valgt/CM10,4)</f>
        <v>0.1065</v>
      </c>
      <c r="CN7" s="198">
        <v>200</v>
      </c>
      <c r="CO7" s="197">
        <v>2</v>
      </c>
      <c r="CP7" s="197">
        <v>4</v>
      </c>
      <c r="CQ7" s="255">
        <v>8</v>
      </c>
      <c r="CR7" s="173">
        <f>RS1valgt/0.85</f>
        <v>1.0352941176470589</v>
      </c>
      <c r="CS7" s="157"/>
      <c r="CT7" s="173">
        <f>RS1valgt/1.14</f>
        <v>0.77192982456140358</v>
      </c>
      <c r="CU7" s="168"/>
      <c r="CV7" s="195" t="s">
        <v>145</v>
      </c>
      <c r="CW7" s="185">
        <v>0.85</v>
      </c>
      <c r="CX7" s="185">
        <v>0.85</v>
      </c>
      <c r="CY7" s="185">
        <v>0.85</v>
      </c>
      <c r="CZ7" s="13"/>
      <c r="DA7" s="238">
        <f>2.05/DA10</f>
        <v>0.89792116314150372</v>
      </c>
      <c r="DB7" s="192">
        <v>0</v>
      </c>
      <c r="DD7" s="180" t="s">
        <v>117</v>
      </c>
      <c r="DE7" s="235">
        <f>ROUND(RS1valgt/DE10,3)</f>
        <v>0.10100000000000001</v>
      </c>
      <c r="DF7" s="141">
        <f>1/DE7</f>
        <v>9.9009900990099009</v>
      </c>
      <c r="DG7" s="140"/>
      <c r="DH7" s="132">
        <v>1</v>
      </c>
      <c r="DI7" s="132"/>
      <c r="DJ7" s="132"/>
      <c r="DK7" s="132">
        <v>1</v>
      </c>
      <c r="DL7" s="127"/>
      <c r="DM7" s="132">
        <v>1</v>
      </c>
      <c r="DO7" s="27">
        <f>RS1valgt/DO10</f>
        <v>0.10748988564349883</v>
      </c>
      <c r="DP7" s="27">
        <f>RS1valgt/DP10</f>
        <v>0.39462334815002109</v>
      </c>
      <c r="DR7" s="27">
        <f>RS1valgt/DR10</f>
        <v>0.37325238930077992</v>
      </c>
      <c r="DT7" s="27">
        <f>RS1valgt/DT10</f>
        <v>0.25066720264795955</v>
      </c>
      <c r="DV7" s="127"/>
      <c r="DW7" s="127"/>
      <c r="DX7" s="127"/>
      <c r="DZ7" s="27">
        <f>RS1valgt/DZ10</f>
        <v>0.32459860998821627</v>
      </c>
      <c r="EB7" s="127"/>
      <c r="EC7" s="127"/>
      <c r="ED7" s="127"/>
      <c r="EE7" s="27">
        <f>RS1valgt/EE10</f>
        <v>0.14398697794238213</v>
      </c>
      <c r="EG7" s="127"/>
      <c r="EH7" s="127"/>
      <c r="EI7" s="127"/>
      <c r="EJ7" s="127"/>
      <c r="EK7" s="27">
        <f>RS1valgt/EK10</f>
        <v>0.64710557432075455</v>
      </c>
      <c r="EM7" s="127"/>
      <c r="EN7" s="127"/>
      <c r="EO7" s="127"/>
      <c r="EP7" s="127"/>
      <c r="EQ7" s="27">
        <f>RS1valgt/EQ10</f>
        <v>0.27363897987205926</v>
      </c>
      <c r="ES7" s="127"/>
      <c r="ET7" s="127"/>
      <c r="EU7" s="127"/>
      <c r="EV7" s="127"/>
      <c r="EW7" s="99">
        <f>ROUND(RS1valgt/EW10,3)</f>
        <v>0.17100000000000001</v>
      </c>
      <c r="EX7" s="141">
        <f>1/EW7</f>
        <v>5.8479532163742682</v>
      </c>
      <c r="EY7" s="127"/>
      <c r="EZ7" s="132"/>
      <c r="FA7" s="132"/>
      <c r="FB7" s="127"/>
      <c r="FC7" s="99">
        <f>ROUND(RS1valgt/FC10,3)</f>
        <v>9.6000000000000002E-2</v>
      </c>
      <c r="FD7" s="141">
        <f>1/FC7</f>
        <v>10.416666666666666</v>
      </c>
      <c r="FE7" s="127">
        <v>-0.5</v>
      </c>
      <c r="FF7" s="132"/>
      <c r="FG7" s="132">
        <v>1</v>
      </c>
      <c r="FH7" s="132">
        <v>1</v>
      </c>
      <c r="FI7" s="127"/>
      <c r="FJ7" s="99">
        <f>ROUND(RS1valgt/FJ10,3)</f>
        <v>5.1999999999999998E-2</v>
      </c>
      <c r="FK7" s="141">
        <f>1/FJ7</f>
        <v>19.23076923076923</v>
      </c>
      <c r="FL7" s="127"/>
      <c r="FM7" s="132"/>
      <c r="FN7" s="132"/>
      <c r="FO7" s="127"/>
      <c r="FR7" s="240"/>
      <c r="FS7" s="479"/>
      <c r="FT7" s="18"/>
      <c r="FU7" s="481"/>
      <c r="FV7" s="504"/>
      <c r="FW7" s="18"/>
      <c r="FX7" s="18"/>
      <c r="FY7" s="18"/>
      <c r="FZ7" s="18"/>
      <c r="GB7" s="18"/>
      <c r="GC7" s="481"/>
      <c r="GD7" s="8"/>
      <c r="GE7" s="8"/>
      <c r="GF7" s="8"/>
      <c r="GG7" s="8"/>
      <c r="GI7" s="18"/>
      <c r="GJ7" s="18"/>
      <c r="GK7" s="18"/>
      <c r="GL7" s="18"/>
      <c r="GM7" s="18"/>
      <c r="GN7" s="18"/>
      <c r="GO7" s="18"/>
      <c r="GP7" s="18"/>
    </row>
    <row r="8" spans="1:198" ht="79.95" customHeight="1" thickBot="1" x14ac:dyDescent="0.4">
      <c r="A8" s="280" t="s">
        <v>216</v>
      </c>
      <c r="B8" s="222" t="s">
        <v>7</v>
      </c>
      <c r="C8" s="28" t="s">
        <v>8</v>
      </c>
      <c r="D8" s="28"/>
      <c r="E8" s="28"/>
      <c r="F8" s="28"/>
      <c r="G8" s="29" t="s">
        <v>62</v>
      </c>
      <c r="H8" s="208" t="str">
        <f>Versjon</f>
        <v>TBF 2023-55h</v>
      </c>
      <c r="I8" s="31"/>
      <c r="J8" s="227"/>
      <c r="K8" s="92" t="s">
        <v>195</v>
      </c>
      <c r="L8" s="92" t="s">
        <v>196</v>
      </c>
      <c r="M8" s="92" t="s">
        <v>286</v>
      </c>
      <c r="N8" s="92" t="s">
        <v>213</v>
      </c>
      <c r="O8" s="33" t="s">
        <v>170</v>
      </c>
      <c r="P8" s="33" t="s">
        <v>287</v>
      </c>
      <c r="Q8" s="33" t="s">
        <v>172</v>
      </c>
      <c r="R8" s="33" t="s">
        <v>173</v>
      </c>
      <c r="S8" s="33" t="s">
        <v>174</v>
      </c>
      <c r="T8" s="33" t="s">
        <v>175</v>
      </c>
      <c r="U8" s="32" t="s">
        <v>288</v>
      </c>
      <c r="V8" s="32" t="s">
        <v>176</v>
      </c>
      <c r="W8" s="32" t="s">
        <v>177</v>
      </c>
      <c r="X8" s="78" t="s">
        <v>210</v>
      </c>
      <c r="Y8" s="32" t="s">
        <v>178</v>
      </c>
      <c r="Z8" s="32" t="s">
        <v>179</v>
      </c>
      <c r="AA8" s="32" t="s">
        <v>180</v>
      </c>
      <c r="AB8" s="86" t="s">
        <v>181</v>
      </c>
      <c r="AC8" s="86" t="s">
        <v>182</v>
      </c>
      <c r="AD8" s="86" t="s">
        <v>183</v>
      </c>
      <c r="AE8" s="380" t="s">
        <v>206</v>
      </c>
      <c r="AF8" s="92" t="s">
        <v>471</v>
      </c>
      <c r="AG8" s="381" t="s">
        <v>472</v>
      </c>
      <c r="AH8" s="92" t="s">
        <v>300</v>
      </c>
      <c r="AI8" s="381" t="s">
        <v>301</v>
      </c>
      <c r="AJ8" s="313" t="s">
        <v>251</v>
      </c>
      <c r="AK8" s="314" t="s">
        <v>252</v>
      </c>
      <c r="AL8" s="34" t="s">
        <v>11</v>
      </c>
      <c r="AM8" s="34" t="s">
        <v>12</v>
      </c>
      <c r="AN8" s="34" t="s">
        <v>13</v>
      </c>
      <c r="AO8" s="34" t="s">
        <v>14</v>
      </c>
      <c r="AP8" s="34" t="s">
        <v>724</v>
      </c>
      <c r="AQ8" s="34" t="s">
        <v>15</v>
      </c>
      <c r="AR8" s="34" t="s">
        <v>16</v>
      </c>
      <c r="AS8" s="34" t="s">
        <v>218</v>
      </c>
      <c r="AT8" s="34" t="s">
        <v>219</v>
      </c>
      <c r="AU8" s="34" t="s">
        <v>713</v>
      </c>
      <c r="AV8" s="34" t="s">
        <v>712</v>
      </c>
      <c r="AW8" s="34" t="s">
        <v>725</v>
      </c>
      <c r="AX8" s="34" t="s">
        <v>220</v>
      </c>
      <c r="AY8" s="174" t="s">
        <v>191</v>
      </c>
      <c r="AZ8" s="174" t="s">
        <v>192</v>
      </c>
      <c r="BA8" s="177" t="s">
        <v>163</v>
      </c>
      <c r="BB8" s="174" t="s">
        <v>162</v>
      </c>
      <c r="BC8" s="177" t="s">
        <v>164</v>
      </c>
      <c r="BD8" s="174" t="s">
        <v>165</v>
      </c>
      <c r="BE8" s="174" t="s">
        <v>166</v>
      </c>
      <c r="BF8" s="35" t="s">
        <v>17</v>
      </c>
      <c r="BG8" s="300" t="s">
        <v>223</v>
      </c>
      <c r="BH8" s="301" t="s">
        <v>224</v>
      </c>
      <c r="BI8" s="218" t="s">
        <v>193</v>
      </c>
      <c r="BJ8" s="37" t="s">
        <v>136</v>
      </c>
      <c r="BK8" s="470"/>
      <c r="BL8" s="473"/>
      <c r="BM8" s="357" t="s">
        <v>9</v>
      </c>
      <c r="BN8" s="32" t="s">
        <v>171</v>
      </c>
      <c r="BO8" s="39" t="s">
        <v>184</v>
      </c>
      <c r="BP8" s="32" t="s">
        <v>185</v>
      </c>
      <c r="BQ8" s="32" t="s">
        <v>174</v>
      </c>
      <c r="BR8" s="39" t="s">
        <v>175</v>
      </c>
      <c r="BS8" s="370" t="s">
        <v>278</v>
      </c>
      <c r="BT8" s="39" t="s">
        <v>186</v>
      </c>
      <c r="BU8" s="32" t="s">
        <v>176</v>
      </c>
      <c r="BV8" s="32" t="s">
        <v>177</v>
      </c>
      <c r="BW8" s="32" t="s">
        <v>187</v>
      </c>
      <c r="BX8" s="39" t="s">
        <v>178</v>
      </c>
      <c r="BY8" s="32" t="s">
        <v>179</v>
      </c>
      <c r="BZ8" s="32" t="s">
        <v>180</v>
      </c>
      <c r="CA8" s="39" t="s">
        <v>181</v>
      </c>
      <c r="CB8" s="32" t="s">
        <v>182</v>
      </c>
      <c r="CC8" s="32" t="s">
        <v>188</v>
      </c>
      <c r="CD8" s="39" t="s">
        <v>189</v>
      </c>
      <c r="CE8" s="40"/>
      <c r="CF8" s="39" t="s">
        <v>190</v>
      </c>
      <c r="CG8" s="203" t="s">
        <v>209</v>
      </c>
      <c r="CH8" s="203" t="s">
        <v>80</v>
      </c>
      <c r="CI8" s="234" t="s">
        <v>201</v>
      </c>
      <c r="CJ8" s="203" t="s">
        <v>202</v>
      </c>
      <c r="CK8" s="153"/>
      <c r="CL8" s="153" t="s">
        <v>143</v>
      </c>
      <c r="CM8" s="30" t="s">
        <v>146</v>
      </c>
      <c r="CN8" s="30" t="s">
        <v>144</v>
      </c>
      <c r="CO8" s="30" t="s">
        <v>147</v>
      </c>
      <c r="CP8" s="30" t="s">
        <v>135</v>
      </c>
      <c r="CQ8" s="30" t="s">
        <v>205</v>
      </c>
      <c r="CR8" s="160" t="s">
        <v>150</v>
      </c>
      <c r="CS8" s="160" t="s">
        <v>21</v>
      </c>
      <c r="CT8" s="160" t="s">
        <v>480</v>
      </c>
      <c r="CU8" s="161" t="s">
        <v>479</v>
      </c>
      <c r="CV8" s="195" t="s">
        <v>145</v>
      </c>
      <c r="CW8" s="186" t="s">
        <v>130</v>
      </c>
      <c r="CX8" s="186" t="s">
        <v>131</v>
      </c>
      <c r="CY8" s="186" t="s">
        <v>128</v>
      </c>
      <c r="CZ8" s="153" t="s">
        <v>127</v>
      </c>
      <c r="DA8" s="30" t="s">
        <v>139</v>
      </c>
      <c r="DB8" s="38">
        <v>1</v>
      </c>
      <c r="DC8" s="28" t="s">
        <v>20</v>
      </c>
      <c r="DE8" s="30" t="s">
        <v>97</v>
      </c>
      <c r="DF8" s="142" t="s">
        <v>104</v>
      </c>
      <c r="DG8" s="30" t="s">
        <v>96</v>
      </c>
      <c r="DH8" s="135" t="s">
        <v>101</v>
      </c>
      <c r="DI8" s="135" t="s">
        <v>103</v>
      </c>
      <c r="DJ8" s="135" t="s">
        <v>105</v>
      </c>
      <c r="DK8" s="135" t="s">
        <v>102</v>
      </c>
      <c r="DL8" s="30" t="s">
        <v>94</v>
      </c>
      <c r="DM8" s="135" t="s">
        <v>112</v>
      </c>
      <c r="DO8" s="30" t="s">
        <v>26</v>
      </c>
      <c r="DP8" s="30" t="s">
        <v>26</v>
      </c>
      <c r="DR8" s="30" t="s">
        <v>26</v>
      </c>
      <c r="DT8" s="30" t="s">
        <v>26</v>
      </c>
      <c r="DV8" s="30" t="s">
        <v>93</v>
      </c>
      <c r="DW8" s="30" t="s">
        <v>94</v>
      </c>
      <c r="DX8" s="30" t="s">
        <v>95</v>
      </c>
      <c r="DZ8" s="30" t="s">
        <v>26</v>
      </c>
      <c r="EB8" s="30" t="s">
        <v>93</v>
      </c>
      <c r="EC8" s="30" t="s">
        <v>94</v>
      </c>
      <c r="ED8" s="30" t="s">
        <v>95</v>
      </c>
      <c r="EE8" s="30" t="s">
        <v>26</v>
      </c>
      <c r="EG8" s="30" t="s">
        <v>96</v>
      </c>
      <c r="EH8" s="30" t="s">
        <v>93</v>
      </c>
      <c r="EI8" s="30" t="s">
        <v>95</v>
      </c>
      <c r="EJ8" s="30" t="s">
        <v>94</v>
      </c>
      <c r="EK8" s="30" t="s">
        <v>26</v>
      </c>
      <c r="EM8" s="30" t="s">
        <v>96</v>
      </c>
      <c r="EN8" s="30" t="s">
        <v>93</v>
      </c>
      <c r="EO8" s="30" t="s">
        <v>95</v>
      </c>
      <c r="EP8" s="30" t="s">
        <v>94</v>
      </c>
      <c r="EQ8" s="30"/>
      <c r="ES8" s="30" t="s">
        <v>96</v>
      </c>
      <c r="ET8" s="30" t="s">
        <v>93</v>
      </c>
      <c r="EU8" s="30" t="s">
        <v>95</v>
      </c>
      <c r="EV8" s="30" t="s">
        <v>94</v>
      </c>
      <c r="EW8" s="30" t="s">
        <v>109</v>
      </c>
      <c r="EX8" s="142" t="s">
        <v>104</v>
      </c>
      <c r="EY8" s="30" t="s">
        <v>106</v>
      </c>
      <c r="EZ8" s="135" t="s">
        <v>101</v>
      </c>
      <c r="FA8" s="135" t="s">
        <v>95</v>
      </c>
      <c r="FB8" s="30" t="s">
        <v>94</v>
      </c>
      <c r="FC8" s="30" t="s">
        <v>108</v>
      </c>
      <c r="FD8" s="142" t="s">
        <v>104</v>
      </c>
      <c r="FE8" s="30" t="s">
        <v>107</v>
      </c>
      <c r="FF8" s="135" t="s">
        <v>101</v>
      </c>
      <c r="FG8" s="135" t="s">
        <v>103</v>
      </c>
      <c r="FH8" s="135" t="s">
        <v>102</v>
      </c>
      <c r="FI8" s="30" t="s">
        <v>94</v>
      </c>
      <c r="FJ8" s="30" t="s">
        <v>109</v>
      </c>
      <c r="FK8" s="142" t="s">
        <v>104</v>
      </c>
      <c r="FL8" s="30" t="s">
        <v>106</v>
      </c>
      <c r="FM8" s="135" t="s">
        <v>101</v>
      </c>
      <c r="FN8" s="135" t="s">
        <v>95</v>
      </c>
      <c r="FO8" s="30" t="s">
        <v>94</v>
      </c>
      <c r="FP8" s="567" t="s">
        <v>755</v>
      </c>
      <c r="FQ8" t="s">
        <v>290</v>
      </c>
      <c r="FR8" s="30" t="s">
        <v>447</v>
      </c>
      <c r="FS8" s="36" t="s">
        <v>446</v>
      </c>
      <c r="FT8" s="36" t="s">
        <v>2</v>
      </c>
      <c r="FU8" s="482" t="s">
        <v>18</v>
      </c>
      <c r="FV8" s="505" t="s">
        <v>19</v>
      </c>
      <c r="FW8" s="36" t="s">
        <v>448</v>
      </c>
      <c r="FX8" s="36" t="s">
        <v>451</v>
      </c>
      <c r="FY8" s="36" t="s">
        <v>452</v>
      </c>
      <c r="FZ8" s="36" t="s">
        <v>453</v>
      </c>
      <c r="GB8" s="474" t="s">
        <v>457</v>
      </c>
      <c r="GC8" s="482" t="s">
        <v>18</v>
      </c>
      <c r="GD8" s="36" t="s">
        <v>19</v>
      </c>
      <c r="GE8" s="36" t="s">
        <v>448</v>
      </c>
      <c r="GF8" s="36" t="s">
        <v>451</v>
      </c>
      <c r="GG8" s="36" t="s">
        <v>452</v>
      </c>
      <c r="GI8" s="36" t="s">
        <v>532</v>
      </c>
      <c r="GJ8" s="36" t="s">
        <v>396</v>
      </c>
      <c r="GK8" s="36" t="s">
        <v>395</v>
      </c>
      <c r="GL8" s="36" t="s">
        <v>466</v>
      </c>
      <c r="GM8" s="36" t="s">
        <v>401</v>
      </c>
      <c r="GN8" s="36" t="s">
        <v>407</v>
      </c>
      <c r="GO8" s="36" t="s">
        <v>405</v>
      </c>
      <c r="GP8" s="36" t="s">
        <v>601</v>
      </c>
    </row>
    <row r="9" spans="1:198" ht="19.2" thickBot="1" x14ac:dyDescent="0.35">
      <c r="A9" s="213"/>
      <c r="B9" s="221"/>
      <c r="K9" s="347"/>
      <c r="L9" s="348"/>
      <c r="M9" s="349"/>
      <c r="N9" s="371" t="s">
        <v>285</v>
      </c>
      <c r="O9" s="350">
        <f t="shared" ref="O9:T9" si="197">BM9</f>
        <v>0.3</v>
      </c>
      <c r="P9" s="350">
        <f t="shared" si="197"/>
        <v>1</v>
      </c>
      <c r="Q9" s="350">
        <f t="shared" si="197"/>
        <v>1</v>
      </c>
      <c r="R9" s="350">
        <f t="shared" si="197"/>
        <v>1</v>
      </c>
      <c r="S9" s="350">
        <f t="shared" si="197"/>
        <v>1</v>
      </c>
      <c r="T9" s="350">
        <f t="shared" si="197"/>
        <v>1</v>
      </c>
      <c r="U9" s="350">
        <f t="shared" ref="U9:AD9" si="198">BT9</f>
        <v>0.8</v>
      </c>
      <c r="V9" s="350">
        <f t="shared" si="198"/>
        <v>0.75</v>
      </c>
      <c r="W9" s="350">
        <f t="shared" si="198"/>
        <v>0.7</v>
      </c>
      <c r="X9" s="350">
        <f t="shared" si="198"/>
        <v>0.6</v>
      </c>
      <c r="Y9" s="350">
        <f t="shared" si="198"/>
        <v>0.5</v>
      </c>
      <c r="Z9" s="350">
        <f t="shared" si="198"/>
        <v>0.5</v>
      </c>
      <c r="AA9" s="350">
        <f t="shared" si="198"/>
        <v>0.4</v>
      </c>
      <c r="AB9" s="350">
        <f t="shared" si="198"/>
        <v>1</v>
      </c>
      <c r="AC9" s="350">
        <f t="shared" si="198"/>
        <v>0.95</v>
      </c>
      <c r="AD9" s="350">
        <f t="shared" si="198"/>
        <v>0.75</v>
      </c>
      <c r="AE9" s="256"/>
      <c r="AF9" s="256"/>
      <c r="AG9" s="376"/>
      <c r="AH9" s="256"/>
      <c r="AI9" s="376"/>
      <c r="AJ9" s="325"/>
      <c r="AK9" s="324"/>
      <c r="AL9" s="334"/>
      <c r="AM9" s="334"/>
      <c r="AN9" s="334"/>
      <c r="AO9" s="334"/>
      <c r="AP9" s="334"/>
      <c r="AQ9" s="325"/>
      <c r="AR9" s="324"/>
      <c r="AS9" s="334"/>
      <c r="AT9" s="334"/>
      <c r="AU9" s="334"/>
      <c r="AV9" s="334"/>
      <c r="AW9" s="334"/>
      <c r="AX9" s="334"/>
      <c r="AY9" s="291"/>
      <c r="AZ9" s="291"/>
      <c r="BA9" s="287"/>
      <c r="BB9" s="97"/>
      <c r="BC9" s="97"/>
      <c r="BD9" s="97"/>
      <c r="BE9" s="97"/>
      <c r="BF9" s="17"/>
      <c r="BG9" s="291"/>
      <c r="BH9" s="291"/>
      <c r="BI9" s="556"/>
      <c r="BJ9" s="260"/>
      <c r="BK9" s="557" t="s">
        <v>280</v>
      </c>
      <c r="BL9" s="557"/>
      <c r="BM9" s="193">
        <v>0.3</v>
      </c>
      <c r="BN9" s="193">
        <v>1</v>
      </c>
      <c r="BO9" s="193">
        <v>1</v>
      </c>
      <c r="BP9" s="193">
        <v>1</v>
      </c>
      <c r="BQ9" s="193">
        <v>1</v>
      </c>
      <c r="BR9" s="193">
        <v>1</v>
      </c>
      <c r="BS9" s="276">
        <v>-0.3</v>
      </c>
      <c r="BT9" s="193">
        <v>0.8</v>
      </c>
      <c r="BU9" s="193">
        <v>0.75</v>
      </c>
      <c r="BV9" s="193">
        <v>0.7</v>
      </c>
      <c r="BW9" s="193">
        <v>0.6</v>
      </c>
      <c r="BX9" s="193">
        <v>0.5</v>
      </c>
      <c r="BY9" s="193">
        <v>0.5</v>
      </c>
      <c r="BZ9" s="193">
        <v>0.4</v>
      </c>
      <c r="CA9" s="193">
        <v>1</v>
      </c>
      <c r="CB9" s="193">
        <v>0.95</v>
      </c>
      <c r="CC9" s="193">
        <v>0.75</v>
      </c>
      <c r="CD9" s="21"/>
      <c r="CF9" s="22"/>
      <c r="CI9" s="26"/>
      <c r="CK9" s="339"/>
      <c r="CL9" s="339"/>
      <c r="CM9" s="102"/>
      <c r="CN9" s="340"/>
      <c r="CO9" s="341"/>
      <c r="CP9" s="341"/>
      <c r="CQ9" s="342"/>
      <c r="CR9" s="129"/>
      <c r="CS9" s="129"/>
      <c r="CT9" s="129"/>
      <c r="CU9" s="158"/>
      <c r="CV9" s="199"/>
      <c r="CW9" s="129"/>
      <c r="CX9" s="129"/>
      <c r="CY9" s="129"/>
      <c r="CZ9" s="129"/>
      <c r="DA9" s="133"/>
      <c r="DB9" s="343"/>
      <c r="DD9" s="180"/>
      <c r="DE9" s="344"/>
      <c r="DF9" s="141"/>
      <c r="DG9" s="130"/>
      <c r="DH9" s="134"/>
      <c r="DI9" s="134"/>
      <c r="DJ9" s="134"/>
      <c r="DK9" s="133"/>
      <c r="DL9" s="129"/>
      <c r="DM9" s="133"/>
      <c r="DO9" s="102"/>
      <c r="DP9" s="102"/>
      <c r="DR9" s="102"/>
      <c r="DT9" s="102"/>
      <c r="DV9" s="130"/>
      <c r="DW9" s="129"/>
      <c r="DX9" s="129"/>
      <c r="DZ9" s="102"/>
      <c r="EB9" s="130"/>
      <c r="EC9" s="129"/>
      <c r="ED9" s="129"/>
      <c r="EE9" s="102"/>
      <c r="EG9" s="130"/>
      <c r="EH9" s="130"/>
      <c r="EI9" s="129"/>
      <c r="EJ9" s="129"/>
      <c r="EK9" s="102"/>
      <c r="EM9" s="130"/>
      <c r="EN9" s="130"/>
      <c r="EO9" s="129"/>
      <c r="EP9" s="129"/>
      <c r="EQ9" s="344"/>
      <c r="ES9" s="130"/>
      <c r="ET9" s="130"/>
      <c r="EU9" s="129"/>
      <c r="EV9" s="129"/>
      <c r="EW9" s="344"/>
      <c r="EX9" s="141"/>
      <c r="EY9" s="130"/>
      <c r="EZ9" s="134"/>
      <c r="FA9" s="133"/>
      <c r="FB9" s="129"/>
      <c r="FC9" s="344"/>
      <c r="FD9" s="141"/>
      <c r="FE9" s="130"/>
      <c r="FF9" s="134"/>
      <c r="FG9" s="134"/>
      <c r="FH9" s="133"/>
      <c r="FI9" s="129"/>
      <c r="FJ9" s="344"/>
      <c r="FK9" s="141"/>
      <c r="FL9" s="129"/>
      <c r="FM9" s="133"/>
      <c r="FN9" s="133"/>
      <c r="FO9" s="129"/>
      <c r="FR9" s="102"/>
      <c r="FS9" s="479"/>
      <c r="FT9" s="18"/>
      <c r="FU9" s="481"/>
      <c r="FV9" s="7"/>
      <c r="FW9" s="7"/>
      <c r="FX9" s="7"/>
      <c r="FY9" s="7"/>
      <c r="FZ9" s="7"/>
      <c r="GB9" s="18"/>
      <c r="GC9" s="481"/>
      <c r="GD9" s="7"/>
      <c r="GE9" s="7"/>
      <c r="GF9" s="7"/>
      <c r="GG9" s="7"/>
      <c r="GI9" s="7"/>
      <c r="GJ9" s="7"/>
      <c r="GK9" s="7"/>
      <c r="GL9" s="7"/>
      <c r="GM9" s="7"/>
      <c r="GN9" s="7"/>
      <c r="GO9" s="7"/>
      <c r="GP9" s="7"/>
    </row>
    <row r="10" spans="1:198" ht="26.4" x14ac:dyDescent="0.3">
      <c r="A10" s="194" t="s">
        <v>141</v>
      </c>
      <c r="B10" s="223">
        <f t="shared" ref="B10:B243" si="199">Loa/0.3048</f>
        <v>45.767716535433067</v>
      </c>
      <c r="C10" s="14" t="s">
        <v>22</v>
      </c>
      <c r="G10" s="41" t="s">
        <v>23</v>
      </c>
      <c r="H10" s="233">
        <v>0.88</v>
      </c>
      <c r="I10" s="65">
        <f>COUNTA(O10:AD10)</f>
        <v>5</v>
      </c>
      <c r="J10" s="228">
        <f>SUM(O10:AD10)</f>
        <v>104.3</v>
      </c>
      <c r="K10" s="119">
        <f>Seilareal/Depl^0.667/K$7</f>
        <v>1</v>
      </c>
      <c r="L10" s="119">
        <f>Seilareal/Lwl/Lwl/L$7</f>
        <v>1</v>
      </c>
      <c r="M10" s="95">
        <f>RiggF</f>
        <v>0.7709491850431448</v>
      </c>
      <c r="N10" s="265">
        <f>StHfaktor</f>
        <v>0.98336332153094619</v>
      </c>
      <c r="O10" s="231"/>
      <c r="P10" s="231"/>
      <c r="Q10" s="231">
        <v>23</v>
      </c>
      <c r="R10" s="231"/>
      <c r="S10" s="231"/>
      <c r="T10" s="231">
        <v>19.3</v>
      </c>
      <c r="U10" s="231">
        <v>40</v>
      </c>
      <c r="V10" s="231"/>
      <c r="W10" s="231"/>
      <c r="X10" s="231">
        <v>9</v>
      </c>
      <c r="Y10" s="231">
        <v>13</v>
      </c>
      <c r="Z10" s="231"/>
      <c r="AA10" s="231"/>
      <c r="AB10" s="231"/>
      <c r="AC10" s="231"/>
      <c r="AD10" s="231"/>
      <c r="AE10" s="257">
        <v>11</v>
      </c>
      <c r="AF10" s="293"/>
      <c r="AG10" s="377"/>
      <c r="AH10" s="293"/>
      <c r="AI10" s="377"/>
      <c r="AJ10" s="293" t="s">
        <v>261</v>
      </c>
      <c r="AK10" s="47">
        <f>VLOOKUP(AJ10,Skrogform!$1:$1048576,3,FALSE)</f>
        <v>0.97</v>
      </c>
      <c r="AL10" s="43">
        <v>13.95</v>
      </c>
      <c r="AM10" s="43">
        <v>12.58</v>
      </c>
      <c r="AN10" s="43">
        <v>4.6500000000000004</v>
      </c>
      <c r="AO10" s="43">
        <v>2.2999999999999998</v>
      </c>
      <c r="AP10" s="43">
        <v>29.4</v>
      </c>
      <c r="AQ10" s="43">
        <v>5.5</v>
      </c>
      <c r="AR10" s="43">
        <v>4.2</v>
      </c>
      <c r="AS10" s="283">
        <v>120</v>
      </c>
      <c r="AT10" s="283">
        <f>AS10*7</f>
        <v>840</v>
      </c>
      <c r="AU10" s="283">
        <v>300</v>
      </c>
      <c r="AV10" s="283">
        <v>300</v>
      </c>
      <c r="AW10" s="163">
        <f>Depl+Diesel/1000+Vann/1000</f>
        <v>30</v>
      </c>
      <c r="AX10" s="283"/>
      <c r="AY10" s="98">
        <f>Bredde/(Loa+Lwl)*2</f>
        <v>0.35054655107425559</v>
      </c>
      <c r="AZ10" s="98">
        <f>(Kjøl+Ballast)/Depl</f>
        <v>0.32993197278911562</v>
      </c>
      <c r="BA10" s="238">
        <f>(Depl-Kjøl-Ballast-VektMotor/1000-VektAnnet/1000)/Loa/Lwl/Bredde</f>
        <v>2.3111806180913113E-2</v>
      </c>
      <c r="BB10" s="238">
        <f>(Depl/Loa/Lwl/Lwl)</f>
        <v>1.331716683635183E-2</v>
      </c>
      <c r="BC10" s="238">
        <f>(Depl/Loa/Lwl/Bredde)</f>
        <v>3.602794812931312E-2</v>
      </c>
      <c r="BD10" s="238">
        <f>Bredde/(Loa+Lwl)*2</f>
        <v>0.35054655107425559</v>
      </c>
      <c r="BE10" s="238">
        <f>(Dypg/Lwl)</f>
        <v>0.18282988871224165</v>
      </c>
      <c r="BF10" s="44" t="s">
        <v>24</v>
      </c>
      <c r="BG10" s="293">
        <v>4</v>
      </c>
      <c r="BH10" s="293">
        <v>61</v>
      </c>
      <c r="BI10" s="47">
        <f t="shared" ref="BI10:BI31" si="200">IF((BF10="Fast"),(1.006248-(0.06415*((BH10/100*SQRT(BG10))/POWER(AP10,(1/3))))),1)</f>
        <v>1</v>
      </c>
      <c r="BJ10" s="48"/>
      <c r="BK10" s="48"/>
      <c r="BL10" s="473"/>
      <c r="BM10" s="51">
        <f t="shared" ref="BM10:BR10" si="201">IF(O10=0,0,O10*BM$9)</f>
        <v>0</v>
      </c>
      <c r="BN10" s="51">
        <f t="shared" si="201"/>
        <v>0</v>
      </c>
      <c r="BO10" s="51">
        <f t="shared" si="201"/>
        <v>23</v>
      </c>
      <c r="BP10" s="51">
        <f t="shared" si="201"/>
        <v>0</v>
      </c>
      <c r="BQ10" s="51">
        <f t="shared" si="201"/>
        <v>0</v>
      </c>
      <c r="BR10" s="51">
        <f t="shared" si="201"/>
        <v>19.3</v>
      </c>
      <c r="BS10" s="52">
        <f>IF(COUNT(P10:T10)&gt;1,MINA(P10:T10)*BS$9,0)</f>
        <v>-5.79</v>
      </c>
      <c r="BT10" s="88">
        <f t="shared" ref="BT10:CC10" si="202">IF(U10=0,0,U10*BT$9)</f>
        <v>32</v>
      </c>
      <c r="BU10" s="88">
        <f t="shared" si="202"/>
        <v>0</v>
      </c>
      <c r="BV10" s="88">
        <f t="shared" si="202"/>
        <v>0</v>
      </c>
      <c r="BW10" s="201">
        <f t="shared" si="202"/>
        <v>5.3999999999999995</v>
      </c>
      <c r="BX10" s="88">
        <f t="shared" si="202"/>
        <v>6.5</v>
      </c>
      <c r="BY10" s="88">
        <f t="shared" si="202"/>
        <v>0</v>
      </c>
      <c r="BZ10" s="201">
        <f t="shared" si="202"/>
        <v>0</v>
      </c>
      <c r="CA10" s="88">
        <f t="shared" si="202"/>
        <v>0</v>
      </c>
      <c r="CB10" s="88">
        <f t="shared" si="202"/>
        <v>0</v>
      </c>
      <c r="CC10" s="201">
        <f t="shared" si="202"/>
        <v>0</v>
      </c>
      <c r="CD10" s="103">
        <f>SUM(BM10:CC10)</f>
        <v>80.41</v>
      </c>
      <c r="CE10" s="10"/>
      <c r="CF10" s="107">
        <f>J10</f>
        <v>104.3</v>
      </c>
      <c r="CG10" s="104">
        <f>CD10/CF10</f>
        <v>0.7709491850431448</v>
      </c>
      <c r="CH10" s="53">
        <f>Seilareal/Lwl/Lwl</f>
        <v>0.65905707446902628</v>
      </c>
      <c r="CI10" s="119">
        <f>Seilareal/Depl^0.667/K$7</f>
        <v>1</v>
      </c>
      <c r="CJ10" s="53">
        <f>Seilareal/Lwl/Lwl/SApRS1</f>
        <v>1</v>
      </c>
      <c r="CL10" s="207">
        <f>H10*CL4</f>
        <v>88</v>
      </c>
      <c r="CM10" s="239">
        <f>(SaDeplf+LBf)*Lf*Skrogfaktor*PropF*(Mast+1)+ErfaringsF</f>
        <v>8.2609924327593784</v>
      </c>
      <c r="CN10" s="64">
        <f>IF(SeilBeregnet=0,"-",(SeilBeregnet)^(1/2)*StHfaktor/(Depl+DeplTillegg/1000+Vann/1000+Diesel/1000*0.84)^(1/3))</f>
        <v>2.8331114660134489</v>
      </c>
      <c r="CO10" s="64">
        <f t="shared" ref="CO10:CO197" si="203">IF(SeilBeregnet=0,"-",((Loa+Lwl)/2/Bredde)^(1/CO$7))</f>
        <v>1.6889902818083384</v>
      </c>
      <c r="CP10" s="64">
        <f t="shared" ref="CP10:CP197" si="204">IF(SeilBeregnet=0,"-",Lwl^(1/CP$7))</f>
        <v>1.8833028354976902</v>
      </c>
      <c r="CQ10" s="110">
        <f t="shared" ref="CQ10:CQ197" si="205">IF(SeilBeregnet=0,"-",(StH/Lwl)^(1/CQ$7))</f>
        <v>0.98336332153094619</v>
      </c>
      <c r="CR10" s="162"/>
      <c r="CS10" s="162">
        <v>0.85</v>
      </c>
      <c r="CT10" s="162"/>
      <c r="CU10" s="273">
        <v>1.1399999999999999</v>
      </c>
      <c r="CV10" s="195" t="s">
        <v>145</v>
      </c>
      <c r="CW10" s="182"/>
      <c r="CX10" s="182"/>
      <c r="CY10" s="182"/>
      <c r="CZ10" s="13"/>
      <c r="DA10" s="239">
        <f>(Dypg/(Lwl+DA$6-Bredde*DA$5))^(1/DA$4)*5</f>
        <v>2.2830512122331386</v>
      </c>
      <c r="DB10" s="49">
        <f t="shared" ref="DB10:DB142" si="206">(Dypg/(Lwl+Bredde+DB$8)*100)</f>
        <v>12.616566099835435</v>
      </c>
      <c r="DC10" s="50">
        <f t="shared" ref="DC10:DC26" si="207">DB$7*IF(DB10&lt;DB$5,-0.04,IF(DB10&lt;DB$5*1.1,-0.03,IF(DB10&lt;DB$5*1.2,-0.02,IF(DB10&lt;DB$5*1.3,-0.01,0))))</f>
        <v>0</v>
      </c>
      <c r="DE10" s="237">
        <f>(DG:DG+DE$6)*DL:DL*PropF+ErfaringsF+Dyp_F</f>
        <v>8.7343408131081244</v>
      </c>
      <c r="DF10" s="141"/>
      <c r="DG10" s="110">
        <f t="shared" ref="DG10:DG26" si="208">SUM(DH10:DK10)^DG$3+DG$7</f>
        <v>4.6377781886575598</v>
      </c>
      <c r="DH10" s="136">
        <f>IF(SeilBeregnet=0,DH8,(SeilBeregnet^0.5/(Depl^0.3333))^DH$3*DH$7)</f>
        <v>2.905727381088683</v>
      </c>
      <c r="DI10" s="136">
        <f>IF(SeilBeregnet=0,DI8,(SeilBeregnet^0.5/Lwl)^DI$3*DI$7)</f>
        <v>0</v>
      </c>
      <c r="DJ10" s="136">
        <f>IF(SeilBeregnet=0,DJ8,(0.1*Loa/Depl^0.3333)^DJ$3*DJ$7)</f>
        <v>0</v>
      </c>
      <c r="DK10" s="136">
        <f>IF(SeilBeregnet=0,DK8,((Loa)/Bredde)^DK$3*DK$7)</f>
        <v>1.7320508075688772</v>
      </c>
      <c r="DL10" s="110">
        <f>IF(SeilBeregnet=0,DL8,(Lwl)^DL$3)</f>
        <v>1.8833028354976902</v>
      </c>
      <c r="DM10" s="136">
        <f>IF(SeilBeregnet=0,DM8,(Dypg/Loa)^DM$3*5*DM$7)</f>
        <v>2.0302373751074416</v>
      </c>
      <c r="DO10" s="42">
        <f>(DO$4*(LBf+SaDeplf)*Lf*PropF+DO$6)+ErfaringsF+Dyp_F</f>
        <v>8.1868167849634688</v>
      </c>
      <c r="DP10" s="42">
        <f>(DP$4*SeilBeregnet^0.5/(Depl^0.33333*Bredde*Lwl)^0.3333*((Loa*0.03+Lwl*0.07)^0.33)*PropF+DP$6)+ErfaringsF+Dyp_F</f>
        <v>2.2299744911835697</v>
      </c>
      <c r="DQ10" s="124">
        <v>1</v>
      </c>
      <c r="DR10" s="42">
        <f>(DR$4*SeilBeregnet^0.5/(Depl^0.33333*Bredde*Lwl)^0.3333*Lwl^0.3333*((Loa+Lwl)/Bredde/6)^0.25*PropF+DR$6)+ErfaringsF+Dyp_F</f>
        <v>2.3576540304230043</v>
      </c>
      <c r="DT10" s="42">
        <f>(DT$4*DV10*DW10*DX10*PropF+DT$6)+ErfaringsF+Dyp_F</f>
        <v>3.510630791359985</v>
      </c>
      <c r="DV10" s="110">
        <f>IF(SeilBeregnet=0,DV8,SeilBeregnet^0.5/Depl^0.33333)</f>
        <v>2.9054326685712404</v>
      </c>
      <c r="DW10" s="110">
        <f>IF(SeilBeregnet=0,DW8,Lwl^0.3333)</f>
        <v>2.3255386279619175</v>
      </c>
      <c r="DX10" s="110">
        <f>IF(SeilBeregnet=0,DX8,((Loa+Lwl)/Bredde)^DX$3)</f>
        <v>1.5455073481707255</v>
      </c>
      <c r="DY10">
        <f>DV10*DW10*DX10</f>
        <v>10.44252316543994</v>
      </c>
      <c r="DZ10" s="42">
        <f>(DZ$4*EB10*EC10*ED10*PropF+DZ$6)+ErfaringsF+Dyp_F</f>
        <v>2.711040568017054</v>
      </c>
      <c r="EB10" s="110">
        <f>IF(SeilBeregnet=0,EB8,SeilBeregnet^0.5/Depl^0.33333)</f>
        <v>2.9054326685712404</v>
      </c>
      <c r="EC10" s="110">
        <f>IF(SeilBeregnet=0,EC8,Lwl^EC$3)</f>
        <v>2.3257152901382043</v>
      </c>
      <c r="ED10" s="110">
        <f>IF(SeilBeregnet=0,ED8,((Loa+Lwl)/Bredde)^ED$3)</f>
        <v>1.7867737200389522</v>
      </c>
      <c r="EE10" s="42">
        <f>(EE$4*EG11+EE$6)*EJ11*PropF+ErfaringsF+Dyp_F</f>
        <v>6.1116637947088588</v>
      </c>
      <c r="EG10" s="110">
        <f>IF(SeilBeregnet=0,EG8,(EH10*EI10)^EG$3)</f>
        <v>4.4903675388921327</v>
      </c>
      <c r="EH10" s="110">
        <f>IF(SeilBeregnet=0,EH8,SeilBeregnet^0.5/Depl^0.33333)</f>
        <v>2.9054326685712404</v>
      </c>
      <c r="EI10" s="110">
        <f>IF(SeilBeregnet=0,EI8,((Loa+Lwl)/Bredde)^EI$3)</f>
        <v>1.5455073481707255</v>
      </c>
      <c r="EJ10" s="110">
        <f>IF(SeilBeregnet=0,EJ8,Lwl^EJ$3)</f>
        <v>1.8833028354976902</v>
      </c>
      <c r="EK10" s="42">
        <f>(EK$4*EM11+EK$6)*EP11*PropF+ErfaringsF+Dyp_F</f>
        <v>1.3599017454357538</v>
      </c>
      <c r="EM10" s="110">
        <f>IF(SeilBeregnet=0,EM8,(EN:EN*EO:EO)^EM$3)</f>
        <v>1.6938386506708465</v>
      </c>
      <c r="EN10" s="110">
        <f>IF(SeilBeregnet=0,EN8,SeilBeregnet^0.5/Depl^0.33333)</f>
        <v>2.9054326685712404</v>
      </c>
      <c r="EO10" s="110">
        <f>IF(SeilBeregnet=0,EO8,((Loa+Lwl)/Bredde/6)^EO$3)</f>
        <v>0.98749126267562803</v>
      </c>
      <c r="EP10" s="110">
        <f>IF(SeilBeregnet=0,EP8,(Lwl*0.7+Loa*0.3)^EP$3)</f>
        <v>1.8985001932932792</v>
      </c>
      <c r="EQ10" s="42">
        <f>(ES:ES+EQ$6)*EV:EV*PropF+ErfaringsF+Dyp_F</f>
        <v>3.2159160964985571</v>
      </c>
      <c r="ES10" s="110">
        <f>(ET:ET*EU:EU)^ES$3</f>
        <v>1.6939245557410192</v>
      </c>
      <c r="ET10" s="110">
        <f>IF(SeilBeregnet=0,ET8,SeilBeregnet^0.5/Depl^0.3333)</f>
        <v>2.905727381088683</v>
      </c>
      <c r="EU10" s="110">
        <f>IF(SeilBeregnet=0,EU8,((Loa+Lwl)/Bredde/6)^EU$3)</f>
        <v>0.98749126267562803</v>
      </c>
      <c r="EV10" s="110">
        <f>IF(SeilBeregnet=0,EV8,(Lwl*0.7+Loa*0.3)^EV$3)</f>
        <v>1.8985001932932792</v>
      </c>
      <c r="EW10" s="42">
        <f>(EY:EY+EW$6)*FB:FB*PropF+ErfaringsF+Dyp_F</f>
        <v>5.1602565899030912</v>
      </c>
      <c r="EX10" s="141"/>
      <c r="EY10" s="110">
        <f>(EZ:EZ*FA:FA)^EY$3</f>
        <v>2.8334880748283231</v>
      </c>
      <c r="EZ10" s="136">
        <f>IF(SeilBeregnet=0,EZ8,(SeilBeregnet^0.5/(Depl^0.3333))^EZ$3)</f>
        <v>2.905727381088683</v>
      </c>
      <c r="FA10" s="136">
        <f>IF(SeilBeregnet=0,FA8,((Loa+Lwl)/Bredde/6)^FA$3)</f>
        <v>0.97513899386070613</v>
      </c>
      <c r="FB10" s="110">
        <f>IF(SeilBeregnet=0,FB8,(Lwl*0.07+Loa*0.03)^FB$3)</f>
        <v>1.0676051145706766</v>
      </c>
      <c r="FC10" s="42">
        <f>(FE:FE+FC$6)*FI:FI*PropF+ErfaringsF+Dyp_F</f>
        <v>9.1351283632395912</v>
      </c>
      <c r="FD10" s="141"/>
      <c r="FE10" s="110">
        <f>(FF:FF+FG:FG+FH:FH)^FE$3+FE$7</f>
        <v>4.850589183563514</v>
      </c>
      <c r="FF10" s="136">
        <f>IF(SeilBeregnet=0,FF8,(SeilBeregnet^0.5/(Depl^0.3333))^FF$3)</f>
        <v>2.905727381088683</v>
      </c>
      <c r="FG10" s="136">
        <f>IF(SeilBeregnet=0,FG8,(SeilBeregnet^0.5/Lwl*FG$7)^FG$3)</f>
        <v>0.71281099490595334</v>
      </c>
      <c r="FH10" s="136">
        <f>IF(SeilBeregnet=0,FH8,((Loa)/Bredde)^FH$3*FH$7)</f>
        <v>1.7320508075688772</v>
      </c>
      <c r="FI10" s="110">
        <f>IF(SeilBeregnet=0,FI8,(Lwl)^FI$3)</f>
        <v>1.8833028354976902</v>
      </c>
      <c r="FJ10" s="42">
        <f>(FL:FL+FJ$6)*FO:FO*PropF+ErfaringsF+Dyp_F</f>
        <v>17.011624894423424</v>
      </c>
      <c r="FK10" s="141"/>
      <c r="FL10" s="110">
        <f>(FM:FM*FN:FN)^FL$3</f>
        <v>5.0328674569896519</v>
      </c>
      <c r="FM10" s="136">
        <f>IF(SeilBeregnet=0,FM8,(SeilBeregnet^0.5/(Depl^0.3333))^FM$3)</f>
        <v>2.905727381088683</v>
      </c>
      <c r="FN10" s="136">
        <f>IF(SeilBeregnet=0,FN8,(Loa/Bredde)^FN$3)</f>
        <v>1.7320508075688772</v>
      </c>
      <c r="FO10" s="110">
        <f>IF(SeilBeregnet=0,FO8,Lwl^FO$3)</f>
        <v>1.8833028354976902</v>
      </c>
      <c r="FR10" s="239"/>
    </row>
    <row r="11" spans="1:198" ht="15.6" x14ac:dyDescent="0.3">
      <c r="A11" s="54" t="s">
        <v>29</v>
      </c>
      <c r="B11" s="223">
        <f t="shared" ref="B11" si="209">Loa/0.3048</f>
        <v>45.767716535433067</v>
      </c>
      <c r="C11" s="55" t="s">
        <v>22</v>
      </c>
      <c r="D11" s="55"/>
      <c r="E11" s="55"/>
      <c r="F11" s="55"/>
      <c r="G11" s="69" t="s">
        <v>23</v>
      </c>
      <c r="H11" s="209"/>
      <c r="I11" s="126" t="str">
        <f>A11</f>
        <v>RS 1 Colin Archer</v>
      </c>
      <c r="J11" s="229"/>
      <c r="K11" s="119"/>
      <c r="L11" s="119"/>
      <c r="M11" s="95"/>
      <c r="N11" s="265"/>
      <c r="O11" s="169"/>
      <c r="P11" s="169">
        <v>53</v>
      </c>
      <c r="Q11" s="169">
        <v>25.8</v>
      </c>
      <c r="R11" s="169">
        <v>15.5</v>
      </c>
      <c r="S11" s="169"/>
      <c r="T11" s="169">
        <v>19.3</v>
      </c>
      <c r="U11" s="169">
        <v>40</v>
      </c>
      <c r="V11" s="169"/>
      <c r="W11" s="169"/>
      <c r="X11" s="169">
        <v>9</v>
      </c>
      <c r="Y11" s="169">
        <v>15.9</v>
      </c>
      <c r="Z11" s="169"/>
      <c r="AA11" s="169"/>
      <c r="AB11" s="169"/>
      <c r="AC11" s="169"/>
      <c r="AD11" s="169"/>
      <c r="AE11" s="270">
        <v>11</v>
      </c>
      <c r="AF11" s="296" t="s">
        <v>706</v>
      </c>
      <c r="AG11" s="377"/>
      <c r="AH11" s="296"/>
      <c r="AI11" s="377"/>
      <c r="AJ11" s="296" t="s">
        <v>261</v>
      </c>
      <c r="AK11" s="47">
        <f>VLOOKUP(AJ11,Skrogform!$1:$1048576,3,FALSE)</f>
        <v>0.97</v>
      </c>
      <c r="AL11" s="57">
        <v>13.95</v>
      </c>
      <c r="AM11" s="57">
        <v>12.58</v>
      </c>
      <c r="AN11" s="57">
        <v>4.6500000000000004</v>
      </c>
      <c r="AO11" s="57">
        <v>2.2999999999999998</v>
      </c>
      <c r="AP11" s="175">
        <v>29.6</v>
      </c>
      <c r="AQ11" s="57">
        <v>5.5</v>
      </c>
      <c r="AR11" s="57">
        <v>3.8</v>
      </c>
      <c r="AS11" s="281">
        <v>120</v>
      </c>
      <c r="AT11" s="282">
        <f>AS11*7</f>
        <v>840</v>
      </c>
      <c r="AU11" s="281">
        <v>100</v>
      </c>
      <c r="AV11" s="281">
        <v>100</v>
      </c>
      <c r="AW11" s="270">
        <f>Depl+Diesel/1000+Vann/1000</f>
        <v>29.800000000000004</v>
      </c>
      <c r="AX11" s="281"/>
      <c r="AY11" s="98">
        <f>Bredde/(Loa+Lwl)*2</f>
        <v>0.35054655107425559</v>
      </c>
      <c r="AZ11" s="98">
        <f>(Kjøl+Ballast)/Depl</f>
        <v>0.3141891891891892</v>
      </c>
      <c r="BA11" s="288">
        <f>BA$7*((Depl-Kjøl-Ballast-VektMotor/1000-VektAnnet/1000)/Loa/Lwl/Bredde)</f>
        <v>1.0318133616118772</v>
      </c>
      <c r="BB11" s="98">
        <f>BB$7*(Depl/Loa/Lwl/Lwl)</f>
        <v>1.0068027210884356</v>
      </c>
      <c r="BC11" s="178">
        <f>BC$7*(Depl/Loa/Lwl/Bredde)</f>
        <v>1.0068027210884356</v>
      </c>
      <c r="BD11" s="98">
        <f>BD$7*Bredde/(Loa+Lwl)*2</f>
        <v>1</v>
      </c>
      <c r="BE11" s="98">
        <f>BE$7*(Dypg/Lwl)</f>
        <v>1</v>
      </c>
      <c r="BF11" s="70" t="s">
        <v>24</v>
      </c>
      <c r="BG11" s="294">
        <v>4</v>
      </c>
      <c r="BH11" s="294">
        <v>61</v>
      </c>
      <c r="BI11" s="47">
        <f t="shared" si="200"/>
        <v>1</v>
      </c>
      <c r="BJ11" s="61"/>
      <c r="BK11" s="61"/>
      <c r="BM11" s="214"/>
      <c r="BN11" s="214" t="str">
        <f>$A11</f>
        <v>RS 1 Colin Archer</v>
      </c>
      <c r="BO11" s="10"/>
      <c r="BP11" s="10"/>
      <c r="BQ11" s="10"/>
      <c r="BR11" s="10"/>
      <c r="BS11" s="52"/>
      <c r="BT11" s="214" t="str">
        <f>$A11</f>
        <v>RS 1 Colin Archer</v>
      </c>
      <c r="BU11" s="10"/>
      <c r="BV11" s="10"/>
      <c r="BW11" s="10"/>
      <c r="BX11" s="10"/>
      <c r="BY11" s="10"/>
      <c r="BZ11" s="10"/>
      <c r="CA11" s="10"/>
      <c r="CB11" s="10"/>
      <c r="CC11" s="10"/>
      <c r="CD11" s="214"/>
      <c r="CE11" s="10"/>
      <c r="CF11" s="214" t="str">
        <f>$A11</f>
        <v>RS 1 Colin Archer</v>
      </c>
      <c r="CG11" s="212"/>
      <c r="CH11" s="212"/>
      <c r="CI11" s="119"/>
      <c r="CJ11" s="212"/>
      <c r="CK11" s="208"/>
      <c r="CL11" s="208" t="s">
        <v>26</v>
      </c>
      <c r="CM11" s="110"/>
      <c r="CN11" s="64" t="str">
        <f>IF(SeilBeregnet=0,"-",(SeilBeregnet)^(1/2)*StHfaktor/(Depl+DeplTillegg/1000+Vann/1000+Diesel/1000*0.84)^(1/3))</f>
        <v>-</v>
      </c>
      <c r="CO11" s="64" t="str">
        <f t="shared" si="203"/>
        <v>-</v>
      </c>
      <c r="CP11" s="64" t="str">
        <f t="shared" si="204"/>
        <v>-</v>
      </c>
      <c r="CQ11" s="110" t="str">
        <f t="shared" si="205"/>
        <v>-</v>
      </c>
      <c r="CR11" s="172"/>
      <c r="CS11" s="162">
        <v>0.86</v>
      </c>
      <c r="CT11" s="172"/>
      <c r="CU11" s="164">
        <v>1.1599999999999999</v>
      </c>
      <c r="CV11" s="195" t="s">
        <v>145</v>
      </c>
      <c r="CW11" s="30" t="s">
        <v>26</v>
      </c>
      <c r="CX11" s="30" t="s">
        <v>26</v>
      </c>
      <c r="CY11" s="30" t="s">
        <v>26</v>
      </c>
      <c r="CZ11" s="153">
        <v>2022</v>
      </c>
      <c r="DA11" s="64" t="str">
        <f t="shared" ref="DA11:DA143" si="210">IF(SeilBeregnet=0,"-",((Dypg/(Lwl+DA$6-Bredde*DA$5))^(1/DA$4)*5)*DA$3*DA$7)</f>
        <v>-</v>
      </c>
      <c r="DB11" s="49">
        <f t="shared" si="206"/>
        <v>12.616566099835435</v>
      </c>
      <c r="DC11" s="50">
        <f t="shared" si="207"/>
        <v>0</v>
      </c>
      <c r="DE11" s="110" t="str">
        <f>IF(SeilBeregnet=0,"-",DE$7*(DG:DG+DE$6)*DL:DL*PropF+ErfaringsF+Dyp_F)</f>
        <v>-</v>
      </c>
      <c r="DF11" s="144" t="str">
        <f>IF($DQ11=0,"-",(DE11-$DO11)*100)</f>
        <v>-</v>
      </c>
      <c r="DG11" s="110">
        <f t="shared" si="208"/>
        <v>4.6377781886575598</v>
      </c>
      <c r="DH11" s="136">
        <f>IF(SeilBeregnet=0,DH10,(SeilBeregnet^0.5/(Depl^0.3333))^DH$3*DH$7)</f>
        <v>2.905727381088683</v>
      </c>
      <c r="DI11" s="136">
        <f>IF(SeilBeregnet=0,DI10,(SeilBeregnet^0.5/Lwl)^DI$3*DI$7)</f>
        <v>0</v>
      </c>
      <c r="DJ11" s="136">
        <f>IF(SeilBeregnet=0,DJ10,(0.1*Loa/Depl^0.3333)^DJ$3*DJ$7)</f>
        <v>0</v>
      </c>
      <c r="DK11" s="136">
        <f>IF(SeilBeregnet=0,DK10,((Loa)/Bredde)^DK$3*DK$7)</f>
        <v>1.7320508075688772</v>
      </c>
      <c r="DL11" s="110">
        <f>IF(SeilBeregnet=0,DL10,(Lwl)^DL$3)</f>
        <v>1.8833028354976902</v>
      </c>
      <c r="DM11" s="136">
        <f>IF(SeilBeregnet=0,DM10,(Dypg/Loa)^DM$3*5*DM$7)</f>
        <v>2.0302373751074416</v>
      </c>
      <c r="DO11" s="110" t="str">
        <f>IF(SeilBeregnet=0,"-",DO$7*(DO$4*(LBf+SaDeplf)*Lf*PropF+DO$6)+ErfaringsF+Dyp_F)</f>
        <v>-</v>
      </c>
      <c r="DP11" s="110" t="str">
        <f t="shared" ref="DP11:DP143" si="211">IF(SeilBeregnet=0,"-",DP$7*(DP$4*SeilBeregnet^0.5/(Depl^0.33333*Bredde*Lwl)^0.3333*((Loa*0.03+Lwl*0.07)^0.33)*PropF+DP$6)+ErfaringsF+Dyp_F)</f>
        <v>-</v>
      </c>
      <c r="DR11" s="110" t="str">
        <f t="shared" ref="DR11:DR143" si="212">IF(SeilBeregnet=0,"-",DR$7*(DR$4*SeilBeregnet^0.5/(Depl^0.33333*Bredde*Lwl)^0.3333*Lwl^0.3333*((Loa+Lwl)/Bredde/6)^0.25*PropF+DR$6)+ErfaringsF+Dyp_F)</f>
        <v>-</v>
      </c>
      <c r="DT11" s="110" t="str">
        <f t="shared" ref="DT11:DT26" si="213">IF(SeilBeregnet=0,"-",DT$7*(DT$4*DV11*DW11*DX11*PropF+DT$6)+ErfaringsF+Dyp_F)</f>
        <v>-</v>
      </c>
      <c r="DV11" s="110">
        <f t="shared" ref="DV11:DV203" si="214">IF(SeilBeregnet=0,DV10,SeilBeregnet^0.5/Depl^0.33333)</f>
        <v>2.9054326685712404</v>
      </c>
      <c r="DW11" s="110">
        <f t="shared" ref="DW11:DW203" si="215">IF(SeilBeregnet=0,DW10,Lwl^0.3333)</f>
        <v>2.3255386279619175</v>
      </c>
      <c r="DX11" s="110">
        <f>IF(SeilBeregnet=0,DX10,((Loa+Lwl)/Bredde)^DX$3)</f>
        <v>1.5455073481707255</v>
      </c>
      <c r="DZ11" s="110" t="str">
        <f t="shared" ref="DZ11:DZ26" si="216">IF(SeilBeregnet=0,"-",DZ$7*(DZ$4*EB11*EC11*ED11*PropF+DZ$6)+ErfaringsF+Dyp_F)</f>
        <v>-</v>
      </c>
      <c r="EB11" s="110">
        <f t="shared" ref="EB11:EB203" si="217">IF(SeilBeregnet=0,EB10,SeilBeregnet^0.5/Depl^0.33333)</f>
        <v>2.9054326685712404</v>
      </c>
      <c r="EC11" s="110">
        <f>IF(SeilBeregnet=0,EC10,Lwl^EC$3)</f>
        <v>2.3257152901382043</v>
      </c>
      <c r="ED11" s="110">
        <f>IF(SeilBeregnet=0,ED10,((Loa+Lwl)/Bredde)^ED$3)</f>
        <v>1.7867737200389522</v>
      </c>
      <c r="EE11" s="110" t="str">
        <f t="shared" ref="EE11:EE26" si="218">IF(SeilBeregnet=0,"-",EE$7*(EE$4*EG11+EE$6)*EJ11*PropF+ErfaringsF+Dyp_F)</f>
        <v>-</v>
      </c>
      <c r="EG11" s="110">
        <f>IF(SeilBeregnet=0,EG10,(EH11*EI11)^EG$3)</f>
        <v>4.4903675388921327</v>
      </c>
      <c r="EH11" s="110">
        <f t="shared" ref="EH11:EH203" si="219">IF(SeilBeregnet=0,EH10,SeilBeregnet^0.5/Depl^0.33333)</f>
        <v>2.9054326685712404</v>
      </c>
      <c r="EI11" s="110">
        <f>IF(SeilBeregnet=0,EI10,((Loa+Lwl)/Bredde)^EI$3)</f>
        <v>1.5455073481707255</v>
      </c>
      <c r="EJ11" s="110">
        <f>IF(SeilBeregnet=0,EJ10,Lwl^EJ$3)</f>
        <v>1.8833028354976902</v>
      </c>
      <c r="EK11" s="110" t="str">
        <f>IF(SeilBeregnet=0,"-",EK$7*(EK$4*EM:EM+EK$6)*EP:EP*PropF+ErfaringsF+Dyp_F)</f>
        <v>-</v>
      </c>
      <c r="EM11" s="110">
        <f>IF(SeilBeregnet=0,EM10,(EN:EN*EO:EO)^EM$3)</f>
        <v>1.6938386506708465</v>
      </c>
      <c r="EN11" s="110">
        <f t="shared" ref="EN11:EN203" si="220">IF(SeilBeregnet=0,EN10,SeilBeregnet^0.5/Depl^0.33333)</f>
        <v>2.9054326685712404</v>
      </c>
      <c r="EO11" s="110">
        <f>IF(SeilBeregnet=0,EO10,((Loa+Lwl)/Bredde/6)^EO$3)</f>
        <v>0.98749126267562803</v>
      </c>
      <c r="EP11" s="110">
        <f>IF(SeilBeregnet=0,EP10,(Lwl*0.7+Loa*0.3)^EP$3)</f>
        <v>1.8985001932932792</v>
      </c>
      <c r="EQ11" s="110" t="str">
        <f>IF(SeilBeregnet=0,"-",EQ$7*(ES:ES+EQ$6)*EV:EV*PropF+ErfaringsF+Dyp_F)</f>
        <v>-</v>
      </c>
      <c r="ES11" s="110">
        <f>(ET:ET*EU:EU)^ES$3</f>
        <v>1.6939245557410192</v>
      </c>
      <c r="ET11" s="110">
        <f t="shared" ref="ET11:ET203" si="221">IF(SeilBeregnet=0,ET10,SeilBeregnet^0.5/Depl^0.3333)</f>
        <v>2.905727381088683</v>
      </c>
      <c r="EU11" s="110">
        <f>IF(SeilBeregnet=0,EU10,((Loa+Lwl)/Bredde/6)^EU$3)</f>
        <v>0.98749126267562803</v>
      </c>
      <c r="EV11" s="110">
        <f>IF(SeilBeregnet=0,EV10,(Lwl*0.7+Loa*0.3)^EV$3)</f>
        <v>1.8985001932932792</v>
      </c>
      <c r="EW11" s="110" t="str">
        <f>IF(SeilBeregnet=0,"-",EW$7*(EY:EY+EW$6)*FB:FB*PropF+ErfaringsF+Dyp_F)</f>
        <v>-</v>
      </c>
      <c r="EX11" s="144" t="str">
        <f>IF($DQ11=0,"-",(EW11-$DO11)*100)</f>
        <v>-</v>
      </c>
      <c r="EY11" s="110">
        <f>(EZ:EZ*FA:FA)^EY$3</f>
        <v>2.8334880748283231</v>
      </c>
      <c r="EZ11" s="136">
        <f>IF(SeilBeregnet=0,EZ10,(SeilBeregnet^0.5/(Depl^0.3333))^EZ$3)</f>
        <v>2.905727381088683</v>
      </c>
      <c r="FA11" s="136">
        <f>IF(SeilBeregnet=0,FA10,((Loa+Lwl)/Bredde/6)^FA$3)</f>
        <v>0.97513899386070613</v>
      </c>
      <c r="FB11" s="110">
        <f>IF(SeilBeregnet=0,FB10,(Lwl*0.07+Loa*0.03)^FB$3)</f>
        <v>1.0676051145706766</v>
      </c>
      <c r="FC11" s="110" t="str">
        <f>IF(SeilBeregnet=0,"-",FC$7*(FE:FE+FC$6)*FI:FI*PropF+ErfaringsF+Dyp_F)</f>
        <v>-</v>
      </c>
      <c r="FD11" s="144" t="str">
        <f>IF($DQ11=0,"-",(FC11-$DO11)*100)</f>
        <v>-</v>
      </c>
      <c r="FE11" s="110">
        <f>(FF:FF+FG:FG+FH:FH)^FE$3+FE$7</f>
        <v>4.850589183563514</v>
      </c>
      <c r="FF11" s="136">
        <f>IF(SeilBeregnet=0,FF10,(SeilBeregnet^0.5/(Depl^0.3333))^FF$3)</f>
        <v>2.905727381088683</v>
      </c>
      <c r="FG11" s="136">
        <f>IF(SeilBeregnet=0,FG10,(SeilBeregnet^0.5/Lwl*FG$7)^FG$3)</f>
        <v>0.71281099490595334</v>
      </c>
      <c r="FH11" s="136">
        <f>IF(SeilBeregnet=0,FH10,((Loa)/Bredde)^FH$3*FH$7)</f>
        <v>1.7320508075688772</v>
      </c>
      <c r="FI11" s="110">
        <f>IF(SeilBeregnet=0,FI10,(Lwl)^FI$3)</f>
        <v>1.8833028354976902</v>
      </c>
      <c r="FJ11" s="110" t="str">
        <f>IF(SeilBeregnet=0,"-",FJ$7*(FL:FL+FJ$6)*FO:FO*PropF+ErfaringsF+Dyp_F)</f>
        <v>-</v>
      </c>
      <c r="FK11" s="144" t="str">
        <f>IF($DQ11=0,"-",(FJ11-$DO11)*100)</f>
        <v>-</v>
      </c>
      <c r="FL11" s="110">
        <f>(FM:FM*FN:FN)^FL$3</f>
        <v>5.0328674569896519</v>
      </c>
      <c r="FM11" s="136">
        <f>IF(SeilBeregnet=0,FM10,(SeilBeregnet^0.5/(Depl^0.3333))^FM$3)</f>
        <v>2.905727381088683</v>
      </c>
      <c r="FN11" s="136">
        <f>IF(SeilBeregnet=0,FN10,(Loa/Bredde)^FN$3)</f>
        <v>1.7320508075688772</v>
      </c>
      <c r="FO11" s="110">
        <f>IF(SeilBeregnet=0,FO10,Lwl^FO$3)</f>
        <v>1.8833028354976902</v>
      </c>
      <c r="FR11" s="110"/>
      <c r="FS11" s="480" t="s">
        <v>484</v>
      </c>
      <c r="FT11" s="59" t="s">
        <v>536</v>
      </c>
      <c r="FU11" s="475" t="s">
        <v>537</v>
      </c>
      <c r="FV11" s="506" t="s">
        <v>538</v>
      </c>
      <c r="FW11" s="59" t="s">
        <v>539</v>
      </c>
      <c r="FX11" s="59" t="s">
        <v>540</v>
      </c>
      <c r="FY11" s="59" t="s">
        <v>455</v>
      </c>
      <c r="FZ11" s="59" t="s">
        <v>522</v>
      </c>
      <c r="GB11" s="59" t="s">
        <v>707</v>
      </c>
      <c r="GC11" s="475" t="s">
        <v>522</v>
      </c>
      <c r="GD11" s="60" t="s">
        <v>522</v>
      </c>
      <c r="GE11" s="60" t="s">
        <v>522</v>
      </c>
      <c r="GF11" s="60" t="s">
        <v>708</v>
      </c>
      <c r="GG11" s="60" t="s">
        <v>522</v>
      </c>
      <c r="GI11" s="59" t="s">
        <v>514</v>
      </c>
      <c r="GJ11" s="59" t="s">
        <v>506</v>
      </c>
      <c r="GK11" s="59" t="s">
        <v>508</v>
      </c>
      <c r="GL11" s="59" t="s">
        <v>508</v>
      </c>
      <c r="GM11" s="59">
        <v>1893</v>
      </c>
      <c r="GN11" s="59" t="s">
        <v>470</v>
      </c>
      <c r="GO11" s="59" t="s">
        <v>511</v>
      </c>
      <c r="GP11" s="59" t="s">
        <v>522</v>
      </c>
    </row>
    <row r="12" spans="1:198" ht="15.6" x14ac:dyDescent="0.3">
      <c r="A12" s="62" t="s">
        <v>27</v>
      </c>
      <c r="B12" s="223"/>
      <c r="C12" s="63" t="str">
        <f>C11</f>
        <v>Gaffel</v>
      </c>
      <c r="D12" s="63"/>
      <c r="E12" s="63"/>
      <c r="F12" s="63"/>
      <c r="G12" s="56"/>
      <c r="H12" s="209">
        <f>TBFavrundet</f>
        <v>89.5</v>
      </c>
      <c r="I12" s="65">
        <f>COUNTA(O12:AD12)</f>
        <v>5</v>
      </c>
      <c r="J12" s="228">
        <f>SUM(O12:AD12)</f>
        <v>110</v>
      </c>
      <c r="K12" s="119">
        <f>Seilareal/Depl^0.667/K$7</f>
        <v>1.0498916334093014</v>
      </c>
      <c r="L12" s="119">
        <f>Seilareal/Lwl/Lwl/L$7</f>
        <v>1.0546500479386385</v>
      </c>
      <c r="M12" s="95">
        <f>RiggF</f>
        <v>0.76963636363636379</v>
      </c>
      <c r="N12" s="265">
        <f>StHfaktor</f>
        <v>0.98336332153094619</v>
      </c>
      <c r="O12" s="147"/>
      <c r="P12" s="147"/>
      <c r="Q12" s="88">
        <f t="shared" ref="Q12:Q13" si="222">Q11</f>
        <v>25.8</v>
      </c>
      <c r="R12" s="147"/>
      <c r="S12" s="147"/>
      <c r="T12" s="88">
        <f t="shared" ref="T12:U12" si="223">T11</f>
        <v>19.3</v>
      </c>
      <c r="U12" s="88">
        <f t="shared" si="223"/>
        <v>40</v>
      </c>
      <c r="V12" s="148"/>
      <c r="W12" s="148"/>
      <c r="X12" s="88">
        <f t="shared" ref="X12:Y12" si="224">X11</f>
        <v>9</v>
      </c>
      <c r="Y12" s="88">
        <f t="shared" si="224"/>
        <v>15.9</v>
      </c>
      <c r="Z12" s="147"/>
      <c r="AA12" s="147"/>
      <c r="AB12" s="147"/>
      <c r="AC12" s="147"/>
      <c r="AD12" s="147"/>
      <c r="AE12" s="260">
        <f t="shared" ref="AE12" si="225">AE11</f>
        <v>11</v>
      </c>
      <c r="AF12" s="375" t="str">
        <f t="shared" ref="AF12" si="226" xml:space="preserve"> AF11</f>
        <v>Clipper</v>
      </c>
      <c r="AG12" s="377"/>
      <c r="AH12" s="375">
        <f t="shared" ref="AH12:AJ12" si="227" xml:space="preserve"> AH11</f>
        <v>0</v>
      </c>
      <c r="AI12" s="377"/>
      <c r="AJ12" s="295" t="str">
        <f t="shared" si="227"/>
        <v>RS</v>
      </c>
      <c r="AK12" s="47">
        <f>VLOOKUP(AJ12,Skrogform!$1:$1048576,3,FALSE)</f>
        <v>0.97</v>
      </c>
      <c r="AL12" s="66">
        <f t="shared" ref="AL12:AT14" si="228">AL11</f>
        <v>13.95</v>
      </c>
      <c r="AM12" s="66">
        <f t="shared" si="228"/>
        <v>12.58</v>
      </c>
      <c r="AN12" s="66">
        <f t="shared" si="228"/>
        <v>4.6500000000000004</v>
      </c>
      <c r="AO12" s="66">
        <f t="shared" si="228"/>
        <v>2.2999999999999998</v>
      </c>
      <c r="AP12" s="66">
        <f t="shared" si="228"/>
        <v>29.6</v>
      </c>
      <c r="AQ12" s="66">
        <f t="shared" si="228"/>
        <v>5.5</v>
      </c>
      <c r="AR12" s="66">
        <f t="shared" si="228"/>
        <v>3.8</v>
      </c>
      <c r="AS12" s="284">
        <f t="shared" ref="AS12:AT12" si="229">AS11</f>
        <v>120</v>
      </c>
      <c r="AT12" s="284">
        <f t="shared" si="229"/>
        <v>840</v>
      </c>
      <c r="AU12" s="284">
        <f t="shared" ref="AU12:AV12" si="230">AU11</f>
        <v>100</v>
      </c>
      <c r="AV12" s="284">
        <f t="shared" si="230"/>
        <v>100</v>
      </c>
      <c r="AW12" s="284"/>
      <c r="AX12" s="284">
        <f>AX11</f>
        <v>0</v>
      </c>
      <c r="AY12" s="68"/>
      <c r="AZ12" s="68"/>
      <c r="BA12" s="289"/>
      <c r="BB12" s="68"/>
      <c r="BC12" s="179"/>
      <c r="BD12" s="68"/>
      <c r="BE12" s="68"/>
      <c r="BF12" s="67" t="str">
        <f t="shared" ref="BF12:BH14" si="231" xml:space="preserve"> BF11</f>
        <v>Seilrett</v>
      </c>
      <c r="BG12" s="295">
        <f t="shared" si="231"/>
        <v>4</v>
      </c>
      <c r="BH12" s="295">
        <f t="shared" si="231"/>
        <v>61</v>
      </c>
      <c r="BI12" s="47">
        <f t="shared" si="200"/>
        <v>1</v>
      </c>
      <c r="BJ12" s="61"/>
      <c r="BK12" s="61"/>
      <c r="BM12" s="51">
        <f t="shared" ref="BM12:BR14" si="232">IF(O12=0,0,O12*BM$9)</f>
        <v>0</v>
      </c>
      <c r="BN12" s="51">
        <f t="shared" si="232"/>
        <v>0</v>
      </c>
      <c r="BO12" s="51">
        <f t="shared" si="232"/>
        <v>25.8</v>
      </c>
      <c r="BP12" s="51">
        <f t="shared" si="232"/>
        <v>0</v>
      </c>
      <c r="BQ12" s="51">
        <f t="shared" si="232"/>
        <v>0</v>
      </c>
      <c r="BR12" s="51">
        <f t="shared" si="232"/>
        <v>19.3</v>
      </c>
      <c r="BS12" s="52">
        <f>IF(COUNT(P12:T12)&gt;1,MINA(P12:T12)*BS$9,0)</f>
        <v>-5.79</v>
      </c>
      <c r="BT12" s="88">
        <f t="shared" ref="BT12:CC14" si="233">IF(U12=0,0,U12*BT$9)</f>
        <v>32</v>
      </c>
      <c r="BU12" s="88">
        <f t="shared" si="233"/>
        <v>0</v>
      </c>
      <c r="BV12" s="88">
        <f t="shared" si="233"/>
        <v>0</v>
      </c>
      <c r="BW12" s="88">
        <f t="shared" si="233"/>
        <v>5.3999999999999995</v>
      </c>
      <c r="BX12" s="88">
        <f t="shared" si="233"/>
        <v>7.95</v>
      </c>
      <c r="BY12" s="88">
        <f t="shared" si="233"/>
        <v>0</v>
      </c>
      <c r="BZ12" s="88">
        <f t="shared" si="233"/>
        <v>0</v>
      </c>
      <c r="CA12" s="88">
        <f t="shared" si="233"/>
        <v>0</v>
      </c>
      <c r="CB12" s="88">
        <f t="shared" si="233"/>
        <v>0</v>
      </c>
      <c r="CC12" s="88">
        <f t="shared" si="233"/>
        <v>0</v>
      </c>
      <c r="CD12" s="103">
        <f>SUM(BM12:CC12)</f>
        <v>84.660000000000011</v>
      </c>
      <c r="CE12" s="52"/>
      <c r="CF12" s="107">
        <f>J12</f>
        <v>110</v>
      </c>
      <c r="CG12" s="104">
        <f>CD12/CF12</f>
        <v>0.76963636363636379</v>
      </c>
      <c r="CH12" s="53">
        <f>Seilareal/Lwl/Lwl</f>
        <v>0.69507457518305737</v>
      </c>
      <c r="CI12" s="119">
        <f>Seilareal/Depl^0.667/K$7</f>
        <v>1.0498916334093014</v>
      </c>
      <c r="CJ12" s="53">
        <f>Seilareal/Lwl/Lwl/SApRS1</f>
        <v>1.0546500479386385</v>
      </c>
      <c r="CK12" s="209"/>
      <c r="CL12" s="209">
        <f>(ROUND(TBF/CL$6,3)*CL$6)*CL$4</f>
        <v>89.5</v>
      </c>
      <c r="CM12" s="110">
        <f t="shared" ref="CM12:CM197" si="234">IF(SeilBeregnet=0,"-",CM$7*(SaDeplf+LBf)*Lf*Skrogfaktor*PropF*(Mast+1)+ErfaringsF)</f>
        <v>0.89522893911036594</v>
      </c>
      <c r="CN12" s="64">
        <f>IF(SeilBeregnet=0,"-",(SeilBeregnet)^(1/2)*StHfaktor/(Depl+DeplTillegg/1000+Vann/1000+Diesel/1000*0.84)^(1/3))</f>
        <v>2.9124375013136428</v>
      </c>
      <c r="CO12" s="64">
        <f t="shared" si="203"/>
        <v>1.6889902818083384</v>
      </c>
      <c r="CP12" s="64">
        <f t="shared" si="204"/>
        <v>1.8833028354976902</v>
      </c>
      <c r="CQ12" s="110">
        <f t="shared" si="205"/>
        <v>0.98336332153094619</v>
      </c>
      <c r="CR12" s="172">
        <f t="shared" ref="CR12:CR26" si="235">IF(CS12=0,"-",IF(CH12="TBF","-",CR$7*CS12))</f>
        <v>0.89035294117647068</v>
      </c>
      <c r="CS12" s="163">
        <f>CS11</f>
        <v>0.86</v>
      </c>
      <c r="CT12" s="172">
        <f t="shared" ref="CT12:CT26" si="236">IF(CU12=0,"-",IF(CL12="TBF","-",CT$7*CU12))</f>
        <v>0.89543859649122803</v>
      </c>
      <c r="CU12" s="163">
        <f>CU11</f>
        <v>1.1599999999999999</v>
      </c>
      <c r="CV12" s="195" t="s">
        <v>145</v>
      </c>
      <c r="CW12" s="64">
        <v>0.87</v>
      </c>
      <c r="CX12" s="64">
        <v>0.86</v>
      </c>
      <c r="CY12" s="64">
        <v>0.86</v>
      </c>
      <c r="CZ12" s="154">
        <v>0.91</v>
      </c>
      <c r="DA12" s="64">
        <f t="shared" si="210"/>
        <v>2.0499999999999998</v>
      </c>
      <c r="DB12" s="49">
        <f t="shared" si="206"/>
        <v>12.616566099835435</v>
      </c>
      <c r="DC12" s="50">
        <f t="shared" si="207"/>
        <v>0</v>
      </c>
      <c r="DE12" s="110">
        <f>IF(SeilBeregnet=0,"-",DE$7*(DG:DG+DE$6)*DL:DL*PropF+ErfaringsF+Dyp_F)</f>
        <v>0.89530675374369961</v>
      </c>
      <c r="DF12" s="144">
        <f>IF($DQ12=0,"-",(DE12-$DO12)*100)</f>
        <v>-0.10728609634073072</v>
      </c>
      <c r="DG12" s="110">
        <f t="shared" si="208"/>
        <v>4.7068496565240459</v>
      </c>
      <c r="DH12" s="136">
        <f>IF(SeilBeregnet=0,DH11,(SeilBeregnet^0.5/(Depl^0.3333))^DH$3*DH$7)</f>
        <v>2.9747988489551682</v>
      </c>
      <c r="DI12" s="136">
        <f>IF(SeilBeregnet=0,DI11,(SeilBeregnet^0.5/Lwl)^DI$3*DI$7)</f>
        <v>0</v>
      </c>
      <c r="DJ12" s="136">
        <f>IF(SeilBeregnet=0,DJ11,(0.1*Loa/Depl^0.3333)^DJ$3*DJ$7)</f>
        <v>0</v>
      </c>
      <c r="DK12" s="136">
        <f>IF(SeilBeregnet=0,DK11,((Loa)/Bredde)^DK$3*DK$7)</f>
        <v>1.7320508075688772</v>
      </c>
      <c r="DL12" s="110">
        <f>IF(SeilBeregnet=0,DL11,(Lwl)^DL$3)</f>
        <v>1.8833028354976902</v>
      </c>
      <c r="DM12" s="136">
        <f>IF(SeilBeregnet=0,DM11,(Dypg/Loa)^DM$3*5*DM$7)</f>
        <v>2.0302373751074416</v>
      </c>
      <c r="DO12" s="110">
        <f>IF(SeilBeregnet=0,"-",DO$7*(DO$4*(LBf+SaDeplf)*Lf*PropF+DO$6)+ErfaringsF+Dyp_F)</f>
        <v>0.89637961470710692</v>
      </c>
      <c r="DP12" s="110">
        <f t="shared" si="211"/>
        <v>0.89728172727940403</v>
      </c>
      <c r="DQ12" s="125">
        <f>DP12-DO12</f>
        <v>9.0211257229710906E-4</v>
      </c>
      <c r="DR12" s="110">
        <f t="shared" si="212"/>
        <v>0.89377278364132284</v>
      </c>
      <c r="DS12" s="125">
        <f>IF($DQ12=0,"-",DR12-$DO12)</f>
        <v>-2.6068310657840765E-3</v>
      </c>
      <c r="DT12" s="110">
        <f t="shared" si="213"/>
        <v>0.89555546456464563</v>
      </c>
      <c r="DU12" s="125">
        <f>IF($DQ12=0,"-",DT12-$DO12)</f>
        <v>-8.2415014246128848E-4</v>
      </c>
      <c r="DV12" s="110">
        <f t="shared" si="214"/>
        <v>2.974496525900344</v>
      </c>
      <c r="DW12" s="110">
        <f t="shared" si="215"/>
        <v>2.3255386279619175</v>
      </c>
      <c r="DX12" s="110">
        <f>IF(SeilBeregnet=0,DX11,((Loa+Lwl)/Bredde)^DX$3)</f>
        <v>1.5455073481707255</v>
      </c>
      <c r="DZ12" s="110">
        <f t="shared" si="216"/>
        <v>0.89397381051307245</v>
      </c>
      <c r="EB12" s="110">
        <f t="shared" si="217"/>
        <v>2.974496525900344</v>
      </c>
      <c r="EC12" s="110">
        <f>IF(SeilBeregnet=0,EC11,Lwl^EC$3)</f>
        <v>2.3257152901382043</v>
      </c>
      <c r="ED12" s="110">
        <f>IF(SeilBeregnet=0,ED11,((Loa+Lwl)/Bredde)^ED$3)</f>
        <v>1.7867737200389522</v>
      </c>
      <c r="EE12" s="110">
        <f t="shared" si="218"/>
        <v>0.89447222434675244</v>
      </c>
      <c r="EG12" s="110">
        <f>IF(SeilBeregnet=0,EG11,(EH12*EI12)^EG$3)</f>
        <v>4.5971062378872762</v>
      </c>
      <c r="EH12" s="110">
        <f t="shared" si="219"/>
        <v>2.974496525900344</v>
      </c>
      <c r="EI12" s="110">
        <f>IF(SeilBeregnet=0,EI11,((Loa+Lwl)/Bredde)^EI$3)</f>
        <v>1.5455073481707255</v>
      </c>
      <c r="EJ12" s="110">
        <f>IF(SeilBeregnet=0,EJ11,Lwl^EJ$3)</f>
        <v>1.8833028354976902</v>
      </c>
      <c r="EK12" s="110">
        <f>IF(SeilBeregnet=0,"-",EK$7*(EK$4*EM:EM+EK$6)*EP:EP*PropF+ErfaringsF+Dyp_F)</f>
        <v>0.8947523409977225</v>
      </c>
      <c r="EM12" s="110">
        <f>IF(SeilBeregnet=0,EM11,(EN:EN*EO:EO)^EM$3)</f>
        <v>1.7138521902969344</v>
      </c>
      <c r="EN12" s="110">
        <f t="shared" si="220"/>
        <v>2.974496525900344</v>
      </c>
      <c r="EO12" s="110">
        <f>IF(SeilBeregnet=0,EO11,((Loa+Lwl)/Bredde/6)^EO$3)</f>
        <v>0.98749126267562803</v>
      </c>
      <c r="EP12" s="110">
        <f>IF(SeilBeregnet=0,EP11,(Lwl*0.7+Loa*0.3)^EP$3)</f>
        <v>1.8985001932932792</v>
      </c>
      <c r="EQ12" s="110">
        <f>IF(SeilBeregnet=0,"-",EQ$7*(ES:ES+EQ$6)*EV:EV*PropF+ErfaringsF+Dyp_F)</f>
        <v>0.89039772485993551</v>
      </c>
      <c r="ES12" s="110">
        <f>(ET:ET*EU:EU)^ES$3</f>
        <v>1.7139392846774777</v>
      </c>
      <c r="ET12" s="110">
        <f t="shared" si="221"/>
        <v>2.9747988489551682</v>
      </c>
      <c r="EU12" s="110">
        <f>IF(SeilBeregnet=0,EU11,((Loa+Lwl)/Bredde/6)^EU$3)</f>
        <v>0.98749126267562803</v>
      </c>
      <c r="EV12" s="110">
        <f>IF(SeilBeregnet=0,EV11,(Lwl*0.7+Loa*0.3)^EV$3)</f>
        <v>1.8985001932932792</v>
      </c>
      <c r="EW12" s="110">
        <f>IF(SeilBeregnet=0,"-",EW$7*(EY:EY+EW$6)*FB:FB*PropF+ErfaringsF+Dyp_F)</f>
        <v>0.89470010650266951</v>
      </c>
      <c r="EX12" s="144">
        <f t="shared" ref="EX12:EX151" si="237">IF($DQ12=0,"-",(EW12-$DO12)*100)</f>
        <v>-0.16795082044374077</v>
      </c>
      <c r="EY12" s="110">
        <f>(EZ:EZ*FA:FA)^EY$3</f>
        <v>2.9008423565081296</v>
      </c>
      <c r="EZ12" s="136">
        <f>IF(SeilBeregnet=0,EZ11,(SeilBeregnet^0.5/(Depl^0.3333))^EZ$3)</f>
        <v>2.9747988489551682</v>
      </c>
      <c r="FA12" s="136">
        <f>IF(SeilBeregnet=0,FA11,((Loa+Lwl)/Bredde/6)^FA$3)</f>
        <v>0.97513899386070613</v>
      </c>
      <c r="FB12" s="110">
        <f>IF(SeilBeregnet=0,FB11,(Lwl*0.07+Loa*0.03)^FB$3)</f>
        <v>1.0676051145706766</v>
      </c>
      <c r="FC12" s="110">
        <f>IF(SeilBeregnet=0,"-",FC$7*(FE:FE+FC$6)*FI:FI*PropF+ErfaringsF+Dyp_F)</f>
        <v>0.89282215606701809</v>
      </c>
      <c r="FD12" s="144">
        <f t="shared" ref="FD12:FD151" si="238">IF($DQ12=0,"-",(FC12-$DO12)*100)</f>
        <v>-0.35574586400888286</v>
      </c>
      <c r="FE12" s="110">
        <f>(FF:FF+FG:FG+FH:FH)^FE$3+FE$7</f>
        <v>4.9382556098085253</v>
      </c>
      <c r="FF12" s="136">
        <f>IF(SeilBeregnet=0,FF11,(SeilBeregnet^0.5/(Depl^0.3333))^FF$3)</f>
        <v>2.9747988489551682</v>
      </c>
      <c r="FG12" s="136">
        <f>IF(SeilBeregnet=0,FG11,(SeilBeregnet^0.5/Lwl*FG$7)^FG$3)</f>
        <v>0.73140595328447977</v>
      </c>
      <c r="FH12" s="136">
        <f>IF(SeilBeregnet=0,FH11,((Loa)/Bredde)^FH$3*FH$7)</f>
        <v>1.7320508075688772</v>
      </c>
      <c r="FI12" s="110">
        <f>IF(SeilBeregnet=0,FI11,(Lwl)^FI$3)</f>
        <v>1.8833028354976902</v>
      </c>
      <c r="FJ12" s="110">
        <f>IF(SeilBeregnet=0,"-",FJ$7*(FL:FL+FJ$6)*FO:FO*PropF+ErfaringsF+Dyp_F)</f>
        <v>0.89632058768221179</v>
      </c>
      <c r="FK12" s="144">
        <f t="shared" ref="FK12:FK151" si="239">IF($DQ12=0,"-",(FJ12-$DO12)*100)</f>
        <v>-5.9027024895130786E-3</v>
      </c>
      <c r="FL12" s="110">
        <f>(FM:FM*FN:FN)^FL$3</f>
        <v>5.1525027486877653</v>
      </c>
      <c r="FM12" s="136">
        <f>IF(SeilBeregnet=0,FM11,(SeilBeregnet^0.5/(Depl^0.3333))^FM$3)</f>
        <v>2.9747988489551682</v>
      </c>
      <c r="FN12" s="136">
        <f>IF(SeilBeregnet=0,FN11,(Loa/Bredde)^FN$3)</f>
        <v>1.7320508075688772</v>
      </c>
      <c r="FO12" s="110">
        <f>IF(SeilBeregnet=0,FO11,Lwl^FO$3)</f>
        <v>1.8833028354976902</v>
      </c>
      <c r="FQ12">
        <v>0.95</v>
      </c>
      <c r="FR12" s="64">
        <f t="shared" ref="FR12:FR112" si="240">IF(SeilBeregnet=0,"-",0.06*2.43^(1/2)*(SeilBeregnet^(1/2)/Depl^(1/3)+(Loa/Bredde)^(1/2)+5*(Dypg/Loa)^(1/2))*Lwl^(1/4)*FQ12)</f>
        <v>1.1273237481438976</v>
      </c>
      <c r="FS12" s="479"/>
      <c r="FT12" s="18"/>
      <c r="FU12" s="481"/>
      <c r="FV12" s="504"/>
      <c r="FW12" s="18"/>
      <c r="FX12" s="18"/>
      <c r="FY12" s="18"/>
      <c r="FZ12" s="18"/>
      <c r="GB12" s="18"/>
      <c r="GC12" s="481"/>
      <c r="GD12" s="8"/>
      <c r="GE12" s="8"/>
      <c r="GF12" s="8"/>
      <c r="GG12" s="8"/>
      <c r="GI12" s="18"/>
      <c r="GJ12" s="18"/>
      <c r="GK12" s="18"/>
      <c r="GL12" s="18"/>
      <c r="GM12" s="18"/>
      <c r="GN12" s="18"/>
      <c r="GO12" s="18"/>
      <c r="GP12" s="18"/>
    </row>
    <row r="13" spans="1:198" ht="15.6" x14ac:dyDescent="0.3">
      <c r="A13" s="62" t="s">
        <v>28</v>
      </c>
      <c r="B13" s="223"/>
      <c r="C13" s="63" t="str">
        <f t="shared" ref="C13:C14" si="241">C12</f>
        <v>Gaffel</v>
      </c>
      <c r="G13" s="56"/>
      <c r="H13" s="209">
        <f>TBFavrundet</f>
        <v>86.999999999999986</v>
      </c>
      <c r="I13" s="65">
        <f>COUNTA(O13:AD13)</f>
        <v>4</v>
      </c>
      <c r="J13" s="228">
        <f>SUM(O13:AD13)</f>
        <v>94.1</v>
      </c>
      <c r="K13" s="119">
        <f>Seilareal/Depl^0.667/K$7</f>
        <v>0.89813457003468411</v>
      </c>
      <c r="L13" s="119">
        <f>Seilareal/Lwl/Lwl/L$7</f>
        <v>0.90220517737296257</v>
      </c>
      <c r="M13" s="95">
        <f>RiggF</f>
        <v>0.81519659936238054</v>
      </c>
      <c r="N13" s="265">
        <f>StHfaktor</f>
        <v>0.98336332153094619</v>
      </c>
      <c r="O13" s="147"/>
      <c r="P13" s="147"/>
      <c r="Q13" s="88">
        <f t="shared" si="222"/>
        <v>25.8</v>
      </c>
      <c r="R13" s="147"/>
      <c r="S13" s="147"/>
      <c r="T13" s="88">
        <f t="shared" ref="T13:U13" si="242">T12</f>
        <v>19.3</v>
      </c>
      <c r="U13" s="88">
        <f t="shared" si="242"/>
        <v>40</v>
      </c>
      <c r="V13" s="148"/>
      <c r="W13" s="148"/>
      <c r="X13" s="88">
        <f t="shared" ref="X13" si="243">X12</f>
        <v>9</v>
      </c>
      <c r="Y13" s="147"/>
      <c r="Z13" s="147"/>
      <c r="AA13" s="147"/>
      <c r="AB13" s="147"/>
      <c r="AC13" s="147"/>
      <c r="AD13" s="147"/>
      <c r="AE13" s="260">
        <f t="shared" ref="AE13" si="244">AE12</f>
        <v>11</v>
      </c>
      <c r="AF13" s="375" t="str">
        <f t="shared" ref="AF13" si="245" xml:space="preserve"> AF12</f>
        <v>Clipper</v>
      </c>
      <c r="AG13" s="377"/>
      <c r="AH13" s="375">
        <f t="shared" ref="AH13:AJ13" si="246" xml:space="preserve"> AH12</f>
        <v>0</v>
      </c>
      <c r="AI13" s="377"/>
      <c r="AJ13" s="295" t="str">
        <f t="shared" si="246"/>
        <v>RS</v>
      </c>
      <c r="AK13" s="47">
        <f>VLOOKUP(AJ13,Skrogform!$1:$1048576,3,FALSE)</f>
        <v>0.97</v>
      </c>
      <c r="AL13" s="66">
        <f t="shared" si="228"/>
        <v>13.95</v>
      </c>
      <c r="AM13" s="66">
        <f t="shared" si="228"/>
        <v>12.58</v>
      </c>
      <c r="AN13" s="66">
        <f t="shared" si="228"/>
        <v>4.6500000000000004</v>
      </c>
      <c r="AO13" s="66">
        <f t="shared" si="228"/>
        <v>2.2999999999999998</v>
      </c>
      <c r="AP13" s="66">
        <f t="shared" si="228"/>
        <v>29.6</v>
      </c>
      <c r="AQ13" s="66">
        <f t="shared" si="228"/>
        <v>5.5</v>
      </c>
      <c r="AR13" s="66">
        <f t="shared" si="228"/>
        <v>3.8</v>
      </c>
      <c r="AS13" s="284">
        <f t="shared" si="228"/>
        <v>120</v>
      </c>
      <c r="AT13" s="284">
        <f t="shared" si="228"/>
        <v>840</v>
      </c>
      <c r="AU13" s="284">
        <f t="shared" ref="AU13:AV13" si="247">AU12</f>
        <v>100</v>
      </c>
      <c r="AV13" s="284">
        <f t="shared" si="247"/>
        <v>100</v>
      </c>
      <c r="AW13" s="284"/>
      <c r="AX13" s="284">
        <f>AX12</f>
        <v>0</v>
      </c>
      <c r="AY13" s="68"/>
      <c r="AZ13" s="68"/>
      <c r="BA13" s="289"/>
      <c r="BB13" s="68"/>
      <c r="BC13" s="179"/>
      <c r="BD13" s="68"/>
      <c r="BE13" s="68"/>
      <c r="BF13" s="67" t="str">
        <f t="shared" si="231"/>
        <v>Seilrett</v>
      </c>
      <c r="BG13" s="295">
        <f t="shared" si="231"/>
        <v>4</v>
      </c>
      <c r="BH13" s="295">
        <f t="shared" si="231"/>
        <v>61</v>
      </c>
      <c r="BI13" s="47">
        <f t="shared" si="200"/>
        <v>1</v>
      </c>
      <c r="BJ13" s="61"/>
      <c r="BK13" s="61"/>
      <c r="BM13" s="51">
        <f t="shared" si="232"/>
        <v>0</v>
      </c>
      <c r="BN13" s="51">
        <f t="shared" si="232"/>
        <v>0</v>
      </c>
      <c r="BO13" s="51">
        <f t="shared" si="232"/>
        <v>25.8</v>
      </c>
      <c r="BP13" s="51">
        <f t="shared" si="232"/>
        <v>0</v>
      </c>
      <c r="BQ13" s="51">
        <f t="shared" si="232"/>
        <v>0</v>
      </c>
      <c r="BR13" s="51">
        <f t="shared" si="232"/>
        <v>19.3</v>
      </c>
      <c r="BS13" s="52">
        <f>IF(COUNT(P13:T13)&gt;1,MINA(P13:T13)*BS$9,0)</f>
        <v>-5.79</v>
      </c>
      <c r="BT13" s="88">
        <f t="shared" si="233"/>
        <v>32</v>
      </c>
      <c r="BU13" s="88">
        <f t="shared" si="233"/>
        <v>0</v>
      </c>
      <c r="BV13" s="88">
        <f t="shared" si="233"/>
        <v>0</v>
      </c>
      <c r="BW13" s="88">
        <f t="shared" si="233"/>
        <v>5.3999999999999995</v>
      </c>
      <c r="BX13" s="88">
        <f t="shared" si="233"/>
        <v>0</v>
      </c>
      <c r="BY13" s="88">
        <f t="shared" si="233"/>
        <v>0</v>
      </c>
      <c r="BZ13" s="88">
        <f t="shared" si="233"/>
        <v>0</v>
      </c>
      <c r="CA13" s="88">
        <f t="shared" si="233"/>
        <v>0</v>
      </c>
      <c r="CB13" s="88">
        <f t="shared" si="233"/>
        <v>0</v>
      </c>
      <c r="CC13" s="88">
        <f t="shared" si="233"/>
        <v>0</v>
      </c>
      <c r="CD13" s="103">
        <f>SUM(BM13:CC13)</f>
        <v>76.710000000000008</v>
      </c>
      <c r="CE13" s="52"/>
      <c r="CF13" s="107">
        <f>J13</f>
        <v>94.1</v>
      </c>
      <c r="CG13" s="104">
        <f>CD13/CF13</f>
        <v>0.81519659936238054</v>
      </c>
      <c r="CH13" s="53">
        <f>Seilareal/Lwl/Lwl</f>
        <v>0.59460470477023364</v>
      </c>
      <c r="CI13" s="119">
        <f>Seilareal/Depl^0.667/K$7</f>
        <v>0.89813457003468411</v>
      </c>
      <c r="CJ13" s="53">
        <f>Seilareal/Lwl/Lwl/SApRS1</f>
        <v>0.90220517737296257</v>
      </c>
      <c r="CK13" s="209"/>
      <c r="CL13" s="209">
        <f>(ROUND(TBF/CL$6,3)*CL$6)*CL$4</f>
        <v>86.999999999999986</v>
      </c>
      <c r="CM13" s="110">
        <f t="shared" si="234"/>
        <v>0.86796857853560261</v>
      </c>
      <c r="CN13" s="64">
        <f>IF(SeilBeregnet=0,"-",(SeilBeregnet)^(1/2)*StHfaktor/(Depl+DeplTillegg/1000+Vann/1000+Diesel/1000*0.84)^(1/3))</f>
        <v>2.772320738945246</v>
      </c>
      <c r="CO13" s="64">
        <f t="shared" si="203"/>
        <v>1.6889902818083384</v>
      </c>
      <c r="CP13" s="64">
        <f t="shared" si="204"/>
        <v>1.8833028354976902</v>
      </c>
      <c r="CQ13" s="110">
        <f t="shared" si="205"/>
        <v>0.98336332153094619</v>
      </c>
      <c r="CR13" s="172" t="str">
        <f t="shared" si="235"/>
        <v>-</v>
      </c>
      <c r="CS13" s="162"/>
      <c r="CT13" s="172" t="str">
        <f t="shared" si="236"/>
        <v>-</v>
      </c>
      <c r="CU13" s="164"/>
      <c r="CV13" s="195" t="s">
        <v>145</v>
      </c>
      <c r="CW13" s="64">
        <v>0.84</v>
      </c>
      <c r="CX13" s="64">
        <v>0.85</v>
      </c>
      <c r="CY13" s="64">
        <v>0.84</v>
      </c>
      <c r="CZ13" s="154">
        <v>0.88</v>
      </c>
      <c r="DA13" s="64">
        <f t="shared" si="210"/>
        <v>2.0499999999999998</v>
      </c>
      <c r="DB13" s="49">
        <f t="shared" si="206"/>
        <v>12.616566099835435</v>
      </c>
      <c r="DC13" s="50">
        <f t="shared" si="207"/>
        <v>0</v>
      </c>
      <c r="DE13" s="110">
        <f>IF(SeilBeregnet=0,"-",DE$7*(DG:DG+DE$6)*DL:DL*PropF+ErfaringsF+Dyp_F)</f>
        <v>0.8680839646828622</v>
      </c>
      <c r="DF13" s="144" t="str">
        <f t="shared" ref="DF13:DF203" si="248">IF($DQ13=0,"-",(DE13-$DO13)*100)</f>
        <v>-</v>
      </c>
      <c r="DG13" s="110">
        <f t="shared" si="208"/>
        <v>4.5637327026924766</v>
      </c>
      <c r="DH13" s="136">
        <f>IF(SeilBeregnet=0,DH12,(SeilBeregnet^0.5/(Depl^0.3333))^DH$3*DH$7)</f>
        <v>2.8316818951235998</v>
      </c>
      <c r="DI13" s="136">
        <f>IF(SeilBeregnet=0,DI12,(SeilBeregnet^0.5/Lwl)^DI$3*DI$7)</f>
        <v>0</v>
      </c>
      <c r="DJ13" s="136">
        <f>IF(SeilBeregnet=0,DJ12,(0.1*Loa/Depl^0.3333)^DJ$3*DJ$7)</f>
        <v>0</v>
      </c>
      <c r="DK13" s="136">
        <f>IF(SeilBeregnet=0,DK12,((Loa)/Bredde)^DK$3*DK$7)</f>
        <v>1.7320508075688772</v>
      </c>
      <c r="DL13" s="110">
        <f>IF(SeilBeregnet=0,DL12,(Lwl)^DL$3)</f>
        <v>1.8833028354976902</v>
      </c>
      <c r="DM13" s="136">
        <f>IF(SeilBeregnet=0,DM12,(Dypg/Loa)^DM$3*5*DM$7)</f>
        <v>2.0302373751074416</v>
      </c>
      <c r="DO13" s="110">
        <f>IF(SeilBeregnet=0,"-",DO$7*(DO$4*(LBf+SaDeplf)*Lf*PropF+DO$6)+ErfaringsF+Dyp_F)</f>
        <v>0.86744764334466085</v>
      </c>
      <c r="DP13" s="110">
        <f t="shared" si="211"/>
        <v>0.86360631362139539</v>
      </c>
      <c r="DR13" s="110">
        <f t="shared" si="212"/>
        <v>0.86693494626284773</v>
      </c>
      <c r="DS13" s="125" t="str">
        <f t="shared" ref="DS13:DS203" si="249">IF($DQ13=0,"-",DR13-$DO13)</f>
        <v>-</v>
      </c>
      <c r="DT13" s="110">
        <f t="shared" si="213"/>
        <v>0.86332406973007625</v>
      </c>
      <c r="DU13" s="125" t="str">
        <f t="shared" ref="DU13:DU203" si="250">IF($DQ13=0,"-",DT13-$DO13)</f>
        <v>-</v>
      </c>
      <c r="DV13" s="110">
        <f t="shared" si="214"/>
        <v>2.8313941167680565</v>
      </c>
      <c r="DW13" s="110">
        <f t="shared" si="215"/>
        <v>2.3255386279619175</v>
      </c>
      <c r="DX13" s="110">
        <f>IF(SeilBeregnet=0,DX12,((Loa+Lwl)/Bredde)^DX$3)</f>
        <v>1.5455073481707255</v>
      </c>
      <c r="DZ13" s="110">
        <f t="shared" si="216"/>
        <v>0.86501965089163935</v>
      </c>
      <c r="EB13" s="110">
        <f t="shared" si="217"/>
        <v>2.8313941167680565</v>
      </c>
      <c r="EC13" s="110">
        <f>IF(SeilBeregnet=0,EC12,Lwl^EC$3)</f>
        <v>2.3257152901382043</v>
      </c>
      <c r="ED13" s="110">
        <f>IF(SeilBeregnet=0,ED12,((Loa+Lwl)/Bredde)^ED$3)</f>
        <v>1.7867737200389522</v>
      </c>
      <c r="EE13" s="110">
        <f t="shared" si="218"/>
        <v>0.86448533613032352</v>
      </c>
      <c r="EG13" s="110">
        <f>IF(SeilBeregnet=0,EG12,(EH13*EI13)^EG$3)</f>
        <v>4.3759404130323931</v>
      </c>
      <c r="EH13" s="110">
        <f t="shared" si="219"/>
        <v>2.8313941167680565</v>
      </c>
      <c r="EI13" s="110">
        <f>IF(SeilBeregnet=0,EI12,((Loa+Lwl)/Bredde)^EI$3)</f>
        <v>1.5455073481707255</v>
      </c>
      <c r="EJ13" s="110">
        <f>IF(SeilBeregnet=0,EJ12,Lwl^EJ$3)</f>
        <v>1.8833028354976902</v>
      </c>
      <c r="EK13" s="110">
        <f>IF(SeilBeregnet=0,"-",EK$7*(EK$4*EM:EM+EK$6)*EP:EP*PropF+ErfaringsF+Dyp_F)</f>
        <v>0.8639889520047136</v>
      </c>
      <c r="EM13" s="110">
        <f>IF(SeilBeregnet=0,EM12,(EN:EN*EO:EO)^EM$3)</f>
        <v>1.6721175052907116</v>
      </c>
      <c r="EN13" s="110">
        <f t="shared" si="220"/>
        <v>2.8313941167680565</v>
      </c>
      <c r="EO13" s="110">
        <f>IF(SeilBeregnet=0,EO12,((Loa+Lwl)/Bredde/6)^EO$3)</f>
        <v>0.98749126267562803</v>
      </c>
      <c r="EP13" s="110">
        <f>IF(SeilBeregnet=0,EP12,(Lwl*0.7+Loa*0.3)^EP$3)</f>
        <v>1.8985001932932792</v>
      </c>
      <c r="EQ13" s="110">
        <f>IF(SeilBeregnet=0,"-",EQ$7*(ES:ES+EQ$6)*EV:EV*PropF+ErfaringsF+Dyp_F)</f>
        <v>0.86871530161032673</v>
      </c>
      <c r="ES13" s="110">
        <f>(ET:ET*EU:EU)^ES$3</f>
        <v>1.6722024788019298</v>
      </c>
      <c r="ET13" s="110">
        <f t="shared" si="221"/>
        <v>2.8316818951235998</v>
      </c>
      <c r="EU13" s="110">
        <f>IF(SeilBeregnet=0,EU12,((Loa+Lwl)/Bredde/6)^EU$3)</f>
        <v>0.98749126267562803</v>
      </c>
      <c r="EV13" s="110">
        <f>IF(SeilBeregnet=0,EV12,(Lwl*0.7+Loa*0.3)^EV$3)</f>
        <v>1.8985001932932792</v>
      </c>
      <c r="EW13" s="110">
        <f>IF(SeilBeregnet=0,"-",EW$7*(EY:EY+EW$6)*FB:FB*PropF+ErfaringsF+Dyp_F)</f>
        <v>0.86922216340245761</v>
      </c>
      <c r="EX13" s="144" t="str">
        <f t="shared" si="237"/>
        <v>-</v>
      </c>
      <c r="EY13" s="110">
        <f>(EZ:EZ*FA:FA)^EY$3</f>
        <v>2.7612834341444046</v>
      </c>
      <c r="EZ13" s="136">
        <f>IF(SeilBeregnet=0,EZ12,(SeilBeregnet^0.5/(Depl^0.3333))^EZ$3)</f>
        <v>2.8316818951235998</v>
      </c>
      <c r="FA13" s="136">
        <f>IF(SeilBeregnet=0,FA12,((Loa+Lwl)/Bredde/6)^FA$3)</f>
        <v>0.97513899386070613</v>
      </c>
      <c r="FB13" s="110">
        <f>IF(SeilBeregnet=0,FB12,(Lwl*0.07+Loa*0.03)^FB$3)</f>
        <v>1.0676051145706766</v>
      </c>
      <c r="FC13" s="110">
        <f>IF(SeilBeregnet=0,"-",FC$7*(FE:FE+FC$6)*FI:FI*PropF+ErfaringsF+Dyp_F)</f>
        <v>0.86058518073395873</v>
      </c>
      <c r="FD13" s="144" t="str">
        <f t="shared" si="238"/>
        <v>-</v>
      </c>
      <c r="FE13" s="110">
        <f>(FF:FF+FG:FG+FH:FH)^FE$3+FE$7</f>
        <v>4.7599508677051166</v>
      </c>
      <c r="FF13" s="136">
        <f>IF(SeilBeregnet=0,FF12,(SeilBeregnet^0.5/(Depl^0.3333))^FF$3)</f>
        <v>2.8316818951235998</v>
      </c>
      <c r="FG13" s="136">
        <f>IF(SeilBeregnet=0,FG12,(SeilBeregnet^0.5/Lwl*FG$7)^FG$3)</f>
        <v>0.69621816501263933</v>
      </c>
      <c r="FH13" s="136">
        <f>IF(SeilBeregnet=0,FH12,((Loa)/Bredde)^FH$3*FH$7)</f>
        <v>1.7320508075688772</v>
      </c>
      <c r="FI13" s="110">
        <f>IF(SeilBeregnet=0,FI12,(Lwl)^FI$3)</f>
        <v>1.8833028354976902</v>
      </c>
      <c r="FJ13" s="110">
        <f>IF(SeilBeregnet=0,"-",FJ$7*(FL:FL+FJ$6)*FO:FO*PropF+ErfaringsF+Dyp_F)</f>
        <v>0.87204469464845691</v>
      </c>
      <c r="FK13" s="144" t="str">
        <f t="shared" si="239"/>
        <v>-</v>
      </c>
      <c r="FL13" s="110">
        <f>(FM:FM*FN:FN)^FL$3</f>
        <v>4.9046169132269997</v>
      </c>
      <c r="FM13" s="136">
        <f>IF(SeilBeregnet=0,FM12,(SeilBeregnet^0.5/(Depl^0.3333))^FM$3)</f>
        <v>2.8316818951235998</v>
      </c>
      <c r="FN13" s="136">
        <f>IF(SeilBeregnet=0,FN12,(Loa/Bredde)^FN$3)</f>
        <v>1.7320508075688772</v>
      </c>
      <c r="FO13" s="110">
        <f>IF(SeilBeregnet=0,FO12,Lwl^FO$3)</f>
        <v>1.8833028354976902</v>
      </c>
      <c r="FQ13">
        <v>0.95</v>
      </c>
      <c r="FR13" s="64">
        <f t="shared" si="240"/>
        <v>1.1033773502970181</v>
      </c>
      <c r="FS13" s="479"/>
      <c r="FT13" s="18"/>
      <c r="FU13" s="481"/>
      <c r="FV13" s="504"/>
      <c r="FW13" s="18"/>
      <c r="FX13" s="18"/>
      <c r="FY13" s="18"/>
      <c r="FZ13" s="18"/>
      <c r="GB13" s="18"/>
      <c r="GC13" s="481"/>
      <c r="GD13" s="8"/>
      <c r="GE13" s="8"/>
      <c r="GF13" s="8"/>
      <c r="GG13" s="8"/>
      <c r="GI13" s="18"/>
      <c r="GJ13" s="18"/>
      <c r="GK13" s="18"/>
      <c r="GL13" s="18"/>
      <c r="GM13" s="18"/>
      <c r="GN13" s="18"/>
      <c r="GO13" s="18"/>
      <c r="GP13" s="18"/>
    </row>
    <row r="14" spans="1:198" ht="15.6" x14ac:dyDescent="0.3">
      <c r="A14" s="62" t="s">
        <v>161</v>
      </c>
      <c r="B14" s="223"/>
      <c r="C14" s="63" t="str">
        <f t="shared" si="241"/>
        <v>Gaffel</v>
      </c>
      <c r="G14" s="56"/>
      <c r="H14" s="209">
        <f>TBFavrundet</f>
        <v>83.500000000000014</v>
      </c>
      <c r="I14" s="65">
        <f>COUNTA(O14:AD14)</f>
        <v>4</v>
      </c>
      <c r="J14" s="228">
        <f>SUM(O14:AD14)</f>
        <v>83.8</v>
      </c>
      <c r="K14" s="119">
        <f>Seilareal/Depl^0.667/K$7</f>
        <v>0.79982653526999503</v>
      </c>
      <c r="L14" s="119">
        <f>Seilareal/Lwl/Lwl/L$7</f>
        <v>0.80345158197507183</v>
      </c>
      <c r="M14" s="95">
        <f>RiggF</f>
        <v>0.80608591885441527</v>
      </c>
      <c r="N14" s="265">
        <f>StHfaktor</f>
        <v>0.98336332153094619</v>
      </c>
      <c r="O14" s="147"/>
      <c r="P14" s="147"/>
      <c r="Q14" s="147"/>
      <c r="R14" s="169">
        <v>15.5</v>
      </c>
      <c r="S14" s="147"/>
      <c r="T14" s="88">
        <f t="shared" ref="T14:U14" si="251">T13</f>
        <v>19.3</v>
      </c>
      <c r="U14" s="88">
        <f t="shared" si="251"/>
        <v>40</v>
      </c>
      <c r="V14" s="148"/>
      <c r="W14" s="148"/>
      <c r="X14" s="88">
        <f t="shared" ref="X14" si="252">X13</f>
        <v>9</v>
      </c>
      <c r="Y14" s="147"/>
      <c r="Z14" s="147"/>
      <c r="AA14" s="147"/>
      <c r="AB14" s="147"/>
      <c r="AC14" s="147"/>
      <c r="AD14" s="147"/>
      <c r="AE14" s="260">
        <f t="shared" ref="AE14" si="253">AE13</f>
        <v>11</v>
      </c>
      <c r="AF14" s="375" t="str">
        <f t="shared" ref="AF14" si="254" xml:space="preserve"> AF13</f>
        <v>Clipper</v>
      </c>
      <c r="AG14" s="377"/>
      <c r="AH14" s="375">
        <f t="shared" ref="AH14:AJ14" si="255" xml:space="preserve"> AH13</f>
        <v>0</v>
      </c>
      <c r="AI14" s="377"/>
      <c r="AJ14" s="295" t="str">
        <f t="shared" si="255"/>
        <v>RS</v>
      </c>
      <c r="AK14" s="47">
        <f>VLOOKUP(AJ14,Skrogform!$1:$1048576,3,FALSE)</f>
        <v>0.97</v>
      </c>
      <c r="AL14" s="66">
        <f t="shared" si="228"/>
        <v>13.95</v>
      </c>
      <c r="AM14" s="66">
        <f t="shared" si="228"/>
        <v>12.58</v>
      </c>
      <c r="AN14" s="66">
        <f t="shared" si="228"/>
        <v>4.6500000000000004</v>
      </c>
      <c r="AO14" s="66">
        <f t="shared" si="228"/>
        <v>2.2999999999999998</v>
      </c>
      <c r="AP14" s="66">
        <f t="shared" si="228"/>
        <v>29.6</v>
      </c>
      <c r="AQ14" s="66">
        <f t="shared" si="228"/>
        <v>5.5</v>
      </c>
      <c r="AR14" s="66">
        <f t="shared" si="228"/>
        <v>3.8</v>
      </c>
      <c r="AS14" s="284">
        <f t="shared" si="228"/>
        <v>120</v>
      </c>
      <c r="AT14" s="284">
        <f t="shared" si="228"/>
        <v>840</v>
      </c>
      <c r="AU14" s="284">
        <f t="shared" ref="AU14:AV14" si="256">AU13</f>
        <v>100</v>
      </c>
      <c r="AV14" s="284">
        <f t="shared" si="256"/>
        <v>100</v>
      </c>
      <c r="AW14" s="284"/>
      <c r="AX14" s="284">
        <f>AX13</f>
        <v>0</v>
      </c>
      <c r="AY14" s="68"/>
      <c r="AZ14" s="68"/>
      <c r="BA14" s="289"/>
      <c r="BB14" s="68"/>
      <c r="BC14" s="179"/>
      <c r="BD14" s="68"/>
      <c r="BE14" s="68"/>
      <c r="BF14" s="67" t="str">
        <f t="shared" si="231"/>
        <v>Seilrett</v>
      </c>
      <c r="BG14" s="295">
        <f t="shared" si="231"/>
        <v>4</v>
      </c>
      <c r="BH14" s="295">
        <f t="shared" si="231"/>
        <v>61</v>
      </c>
      <c r="BI14" s="47">
        <f t="shared" si="200"/>
        <v>1</v>
      </c>
      <c r="BJ14" s="61"/>
      <c r="BK14" s="61"/>
      <c r="BM14" s="51">
        <f t="shared" si="232"/>
        <v>0</v>
      </c>
      <c r="BN14" s="51">
        <f t="shared" si="232"/>
        <v>0</v>
      </c>
      <c r="BO14" s="51">
        <f t="shared" si="232"/>
        <v>0</v>
      </c>
      <c r="BP14" s="51">
        <f t="shared" si="232"/>
        <v>15.5</v>
      </c>
      <c r="BQ14" s="51">
        <f t="shared" si="232"/>
        <v>0</v>
      </c>
      <c r="BR14" s="51">
        <f t="shared" si="232"/>
        <v>19.3</v>
      </c>
      <c r="BS14" s="52">
        <f>IF(COUNT(P14:T14)&gt;1,MINA(P14:T14)*BS$9,0)</f>
        <v>-4.6499999999999995</v>
      </c>
      <c r="BT14" s="88">
        <f t="shared" si="233"/>
        <v>32</v>
      </c>
      <c r="BU14" s="88">
        <f t="shared" si="233"/>
        <v>0</v>
      </c>
      <c r="BV14" s="88">
        <f t="shared" si="233"/>
        <v>0</v>
      </c>
      <c r="BW14" s="88">
        <f t="shared" si="233"/>
        <v>5.3999999999999995</v>
      </c>
      <c r="BX14" s="88">
        <f t="shared" si="233"/>
        <v>0</v>
      </c>
      <c r="BY14" s="88">
        <f t="shared" si="233"/>
        <v>0</v>
      </c>
      <c r="BZ14" s="88">
        <f t="shared" si="233"/>
        <v>0</v>
      </c>
      <c r="CA14" s="88">
        <f t="shared" si="233"/>
        <v>0</v>
      </c>
      <c r="CB14" s="88">
        <f t="shared" si="233"/>
        <v>0</v>
      </c>
      <c r="CC14" s="88">
        <f t="shared" si="233"/>
        <v>0</v>
      </c>
      <c r="CD14" s="103">
        <f>SUM(BM14:CC14)</f>
        <v>67.55</v>
      </c>
      <c r="CE14" s="52"/>
      <c r="CF14" s="107">
        <f>J14</f>
        <v>83.8</v>
      </c>
      <c r="CG14" s="104">
        <f>CD14/CF14</f>
        <v>0.80608591885441527</v>
      </c>
      <c r="CH14" s="53">
        <f>Seilareal/Lwl/Lwl</f>
        <v>0.52952044909400187</v>
      </c>
      <c r="CI14" s="119">
        <f>Seilareal/Depl^0.667/K$7</f>
        <v>0.79982653526999503</v>
      </c>
      <c r="CJ14" s="53">
        <f>Seilareal/Lwl/Lwl/SApRS1</f>
        <v>0.80345158197507183</v>
      </c>
      <c r="CK14" s="209"/>
      <c r="CL14" s="209">
        <f>(ROUND(TBF/CL$6,3)*CL$6)*CL$4</f>
        <v>83.500000000000014</v>
      </c>
      <c r="CM14" s="110">
        <f t="shared" si="234"/>
        <v>0.83474199393431991</v>
      </c>
      <c r="CN14" s="64">
        <f>IF(SeilBeregnet=0,"-",(SeilBeregnet)^(1/2)*StHfaktor/(Depl+DeplTillegg/1000+Vann/1000+Diesel/1000*0.84)^(1/3))</f>
        <v>2.601537911398887</v>
      </c>
      <c r="CO14" s="64">
        <f t="shared" si="203"/>
        <v>1.6889902818083384</v>
      </c>
      <c r="CP14" s="64">
        <f t="shared" si="204"/>
        <v>1.8833028354976902</v>
      </c>
      <c r="CQ14" s="110">
        <f t="shared" si="205"/>
        <v>0.98336332153094619</v>
      </c>
      <c r="CR14" s="172" t="str">
        <f t="shared" si="235"/>
        <v>-</v>
      </c>
      <c r="CS14" s="162"/>
      <c r="CT14" s="172" t="str">
        <f t="shared" si="236"/>
        <v>-</v>
      </c>
      <c r="CU14" s="164"/>
      <c r="CV14" s="195" t="s">
        <v>145</v>
      </c>
      <c r="CW14" s="64">
        <v>0.8</v>
      </c>
      <c r="CX14" s="64">
        <v>0.82</v>
      </c>
      <c r="CY14" s="64">
        <v>0.8</v>
      </c>
      <c r="CZ14" s="154">
        <v>0.84</v>
      </c>
      <c r="DA14" s="64">
        <f t="shared" si="210"/>
        <v>2.0499999999999998</v>
      </c>
      <c r="DB14" s="49">
        <f t="shared" si="206"/>
        <v>12.616566099835435</v>
      </c>
      <c r="DC14" s="50">
        <f t="shared" si="207"/>
        <v>0</v>
      </c>
      <c r="DE14" s="110">
        <f>IF(SeilBeregnet=0,"-",DE$7*(DG:DG+DE$6)*DL:DL*PropF+ErfaringsF+Dyp_F)</f>
        <v>0.83490317452669127</v>
      </c>
      <c r="DF14" s="144" t="str">
        <f t="shared" si="248"/>
        <v>-</v>
      </c>
      <c r="DG14" s="110">
        <f t="shared" si="208"/>
        <v>4.3892930594118695</v>
      </c>
      <c r="DH14" s="136">
        <f>IF(SeilBeregnet=0,DH13,(SeilBeregnet^0.5/(Depl^0.3333))^DH$3*DH$7)</f>
        <v>2.6572422518429919</v>
      </c>
      <c r="DI14" s="136">
        <f>IF(SeilBeregnet=0,DI13,(SeilBeregnet^0.5/Lwl)^DI$3*DI$7)</f>
        <v>0</v>
      </c>
      <c r="DJ14" s="136">
        <f>IF(SeilBeregnet=0,DJ13,(0.1*Loa/Depl^0.3333)^DJ$3*DJ$7)</f>
        <v>0</v>
      </c>
      <c r="DK14" s="136">
        <f>IF(SeilBeregnet=0,DK13,((Loa)/Bredde)^DK$3*DK$7)</f>
        <v>1.7320508075688772</v>
      </c>
      <c r="DL14" s="110">
        <f>IF(SeilBeregnet=0,DL13,(Lwl)^DL$3)</f>
        <v>1.8833028354976902</v>
      </c>
      <c r="DM14" s="136">
        <f>IF(SeilBeregnet=0,DM13,(Dypg/Loa)^DM$3*5*DM$7)</f>
        <v>2.0302373751074416</v>
      </c>
      <c r="DO14" s="110">
        <f>IF(SeilBeregnet=0,"-",DO$7*(DO$4*(LBf+SaDeplf)*Lf*PropF+DO$6)+ErfaringsF+Dyp_F)</f>
        <v>0.83218359789963636</v>
      </c>
      <c r="DP14" s="110">
        <f t="shared" si="211"/>
        <v>0.8225606723569554</v>
      </c>
      <c r="DR14" s="110">
        <f t="shared" si="212"/>
        <v>0.83422335861800567</v>
      </c>
      <c r="DS14" s="125" t="str">
        <f t="shared" si="249"/>
        <v>-</v>
      </c>
      <c r="DT14" s="110">
        <f t="shared" si="213"/>
        <v>0.82403848638824773</v>
      </c>
      <c r="DU14" s="125" t="str">
        <f t="shared" si="250"/>
        <v>-</v>
      </c>
      <c r="DV14" s="110">
        <f t="shared" si="214"/>
        <v>2.6569722014510915</v>
      </c>
      <c r="DW14" s="110">
        <f t="shared" si="215"/>
        <v>2.3255386279619175</v>
      </c>
      <c r="DX14" s="110">
        <f>IF(SeilBeregnet=0,DX13,((Loa+Lwl)/Bredde)^DX$3)</f>
        <v>1.5455073481707255</v>
      </c>
      <c r="DZ14" s="110">
        <f t="shared" si="216"/>
        <v>0.82972856104775761</v>
      </c>
      <c r="EB14" s="110">
        <f t="shared" si="217"/>
        <v>2.6569722014510915</v>
      </c>
      <c r="EC14" s="110">
        <f>IF(SeilBeregnet=0,EC13,Lwl^EC$3)</f>
        <v>2.3257152901382043</v>
      </c>
      <c r="ED14" s="110">
        <f>IF(SeilBeregnet=0,ED13,((Loa+Lwl)/Bredde)^ED$3)</f>
        <v>1.7867737200389522</v>
      </c>
      <c r="EE14" s="110">
        <f t="shared" si="218"/>
        <v>0.82793549389621979</v>
      </c>
      <c r="EG14" s="110">
        <f>IF(SeilBeregnet=0,EG13,(EH14*EI14)^EG$3)</f>
        <v>4.1063700612280112</v>
      </c>
      <c r="EH14" s="110">
        <f t="shared" si="219"/>
        <v>2.6569722014510915</v>
      </c>
      <c r="EI14" s="110">
        <f>IF(SeilBeregnet=0,EI13,((Loa+Lwl)/Bredde)^EI$3)</f>
        <v>1.5455073481707255</v>
      </c>
      <c r="EJ14" s="110">
        <f>IF(SeilBeregnet=0,EJ13,Lwl^EJ$3)</f>
        <v>1.8833028354976902</v>
      </c>
      <c r="EK14" s="110">
        <f>IF(SeilBeregnet=0,"-",EK$7*(EK$4*EM:EM+EK$6)*EP:EP*PropF+ErfaringsF+Dyp_F)</f>
        <v>0.82542131546349884</v>
      </c>
      <c r="EM14" s="110">
        <f>IF(SeilBeregnet=0,EM13,(EN:EN*EO:EO)^EM$3)</f>
        <v>1.6197953062362485</v>
      </c>
      <c r="EN14" s="110">
        <f t="shared" si="220"/>
        <v>2.6569722014510915</v>
      </c>
      <c r="EO14" s="110">
        <f>IF(SeilBeregnet=0,EO13,((Loa+Lwl)/Bredde/6)^EO$3)</f>
        <v>0.98749126267562803</v>
      </c>
      <c r="EP14" s="110">
        <f>IF(SeilBeregnet=0,EP13,(Lwl*0.7+Loa*0.3)^EP$3)</f>
        <v>1.8985001932932792</v>
      </c>
      <c r="EQ14" s="110">
        <f>IF(SeilBeregnet=0,"-",EQ$7*(ES:ES+EQ$6)*EV:EV*PropF+ErfaringsF+Dyp_F)</f>
        <v>0.84153234659149811</v>
      </c>
      <c r="ES14" s="110">
        <f>(ET:ET*EU:EU)^ES$3</f>
        <v>1.6198776208428418</v>
      </c>
      <c r="ET14" s="110">
        <f t="shared" si="221"/>
        <v>2.6572422518429919</v>
      </c>
      <c r="EU14" s="110">
        <f>IF(SeilBeregnet=0,EU13,((Loa+Lwl)/Bredde/6)^EU$3)</f>
        <v>0.98749126267562803</v>
      </c>
      <c r="EV14" s="110">
        <f>IF(SeilBeregnet=0,EV13,(Lwl*0.7+Loa*0.3)^EV$3)</f>
        <v>1.8985001932932792</v>
      </c>
      <c r="EW14" s="110">
        <f>IF(SeilBeregnet=0,"-",EW$7*(EY:EY+EW$6)*FB:FB*PropF+ErfaringsF+Dyp_F)</f>
        <v>0.83816809757071087</v>
      </c>
      <c r="EX14" s="144" t="str">
        <f t="shared" si="237"/>
        <v>-</v>
      </c>
      <c r="EY14" s="110">
        <f>(EZ:EZ*FA:FA)^EY$3</f>
        <v>2.5911805359063322</v>
      </c>
      <c r="EZ14" s="136">
        <f>IF(SeilBeregnet=0,EZ13,(SeilBeregnet^0.5/(Depl^0.3333))^EZ$3)</f>
        <v>2.6572422518429919</v>
      </c>
      <c r="FA14" s="136">
        <f>IF(SeilBeregnet=0,FA13,((Loa+Lwl)/Bredde/6)^FA$3)</f>
        <v>0.97513899386070613</v>
      </c>
      <c r="FB14" s="110">
        <f>IF(SeilBeregnet=0,FB13,(Lwl*0.07+Loa*0.03)^FB$3)</f>
        <v>1.0676051145706766</v>
      </c>
      <c r="FC14" s="110">
        <f>IF(SeilBeregnet=0,"-",FC$7*(FE:FE+FC$6)*FI:FI*PropF+ErfaringsF+Dyp_F)</f>
        <v>0.82129279554133716</v>
      </c>
      <c r="FD14" s="144" t="str">
        <f t="shared" si="238"/>
        <v>-</v>
      </c>
      <c r="FE14" s="110">
        <f>(FF:FF+FG:FG+FH:FH)^FE$3+FE$7</f>
        <v>4.5426222090448398</v>
      </c>
      <c r="FF14" s="136">
        <f>IF(SeilBeregnet=0,FF13,(SeilBeregnet^0.5/(Depl^0.3333))^FF$3)</f>
        <v>2.6572422518429919</v>
      </c>
      <c r="FG14" s="136">
        <f>IF(SeilBeregnet=0,FG13,(SeilBeregnet^0.5/Lwl*FG$7)^FG$3)</f>
        <v>0.65332914963297106</v>
      </c>
      <c r="FH14" s="136">
        <f>IF(SeilBeregnet=0,FH13,((Loa)/Bredde)^FH$3*FH$7)</f>
        <v>1.7320508075688772</v>
      </c>
      <c r="FI14" s="110">
        <f>IF(SeilBeregnet=0,FI13,(Lwl)^FI$3)</f>
        <v>1.8833028354976902</v>
      </c>
      <c r="FJ14" s="110">
        <f>IF(SeilBeregnet=0,"-",FJ$7*(FL:FL+FJ$6)*FO:FO*PropF+ErfaringsF+Dyp_F)</f>
        <v>0.84245576050924909</v>
      </c>
      <c r="FK14" s="144" t="str">
        <f t="shared" si="239"/>
        <v>-</v>
      </c>
      <c r="FL14" s="110">
        <f>(FM:FM*FN:FN)^FL$3</f>
        <v>4.6024785882107961</v>
      </c>
      <c r="FM14" s="136">
        <f>IF(SeilBeregnet=0,FM13,(SeilBeregnet^0.5/(Depl^0.3333))^FM$3)</f>
        <v>2.6572422518429919</v>
      </c>
      <c r="FN14" s="136">
        <f>IF(SeilBeregnet=0,FN13,(Loa/Bredde)^FN$3)</f>
        <v>1.7320508075688772</v>
      </c>
      <c r="FO14" s="110">
        <f>IF(SeilBeregnet=0,FO13,Lwl^FO$3)</f>
        <v>1.8833028354976902</v>
      </c>
      <c r="FQ14">
        <v>0.95</v>
      </c>
      <c r="FR14" s="64">
        <f t="shared" si="240"/>
        <v>1.0741900249212895</v>
      </c>
      <c r="FS14" s="479"/>
      <c r="FT14" s="18"/>
      <c r="FU14" s="481"/>
      <c r="FV14" s="504"/>
      <c r="FW14" s="18"/>
      <c r="FX14" s="18"/>
      <c r="FY14" s="18"/>
      <c r="FZ14" s="18"/>
      <c r="GB14" s="18"/>
      <c r="GC14" s="481"/>
      <c r="GD14" s="8"/>
      <c r="GE14" s="8"/>
      <c r="GF14" s="8"/>
      <c r="GG14" s="8"/>
      <c r="GI14" s="18"/>
      <c r="GJ14" s="18"/>
      <c r="GK14" s="18"/>
      <c r="GL14" s="18"/>
      <c r="GM14" s="18"/>
      <c r="GN14" s="18"/>
      <c r="GO14" s="18"/>
      <c r="GP14" s="18"/>
    </row>
    <row r="15" spans="1:198" ht="15.6" x14ac:dyDescent="0.3">
      <c r="A15" s="54" t="s">
        <v>25</v>
      </c>
      <c r="B15" s="223">
        <f t="shared" si="199"/>
        <v>46.587926509186346</v>
      </c>
      <c r="C15" s="55" t="s">
        <v>22</v>
      </c>
      <c r="D15" s="55"/>
      <c r="E15" s="55"/>
      <c r="F15" s="55"/>
      <c r="G15" s="56" t="s">
        <v>23</v>
      </c>
      <c r="H15" s="209"/>
      <c r="I15" s="126" t="str">
        <f>A15</f>
        <v>RS 30 Risør II</v>
      </c>
      <c r="J15" s="229"/>
      <c r="K15" s="119"/>
      <c r="L15" s="119"/>
      <c r="M15" s="95"/>
      <c r="N15" s="265"/>
      <c r="O15" s="169"/>
      <c r="P15" s="169"/>
      <c r="Q15" s="169">
        <v>29.9</v>
      </c>
      <c r="R15" s="169">
        <v>17.8</v>
      </c>
      <c r="S15" s="169"/>
      <c r="T15" s="169">
        <v>21.9</v>
      </c>
      <c r="U15" s="169">
        <v>48.9</v>
      </c>
      <c r="V15" s="169"/>
      <c r="W15" s="169"/>
      <c r="X15" s="169">
        <v>14</v>
      </c>
      <c r="Y15" s="169">
        <v>12.9</v>
      </c>
      <c r="Z15" s="169"/>
      <c r="AA15" s="169"/>
      <c r="AB15" s="169"/>
      <c r="AC15" s="169"/>
      <c r="AD15" s="169"/>
      <c r="AE15" s="270">
        <v>12.06</v>
      </c>
      <c r="AF15" s="296" t="s">
        <v>706</v>
      </c>
      <c r="AG15" s="377"/>
      <c r="AH15" s="296"/>
      <c r="AI15" s="377"/>
      <c r="AJ15" s="296" t="s">
        <v>261</v>
      </c>
      <c r="AK15" s="47">
        <f>VLOOKUP(AJ15,Skrogform!$1:$1048576,3,FALSE)</f>
        <v>0.97</v>
      </c>
      <c r="AL15" s="57">
        <v>14.2</v>
      </c>
      <c r="AM15" s="57">
        <v>12.45</v>
      </c>
      <c r="AN15" s="57">
        <v>4.9400000000000004</v>
      </c>
      <c r="AO15" s="57">
        <v>2.5</v>
      </c>
      <c r="AP15" s="175">
        <v>34.5</v>
      </c>
      <c r="AQ15" s="57">
        <v>5</v>
      </c>
      <c r="AR15" s="57">
        <v>7</v>
      </c>
      <c r="AS15" s="281">
        <v>135</v>
      </c>
      <c r="AT15" s="282">
        <v>1300</v>
      </c>
      <c r="AU15" s="281">
        <f>ROUND(Depl*10,-2)</f>
        <v>300</v>
      </c>
      <c r="AV15" s="281">
        <f>ROUND(Depl*10,-2)</f>
        <v>300</v>
      </c>
      <c r="AW15" s="270">
        <f>Depl+Diesel/1000+Vann/1000</f>
        <v>35.099999999999994</v>
      </c>
      <c r="AX15" s="281">
        <v>100</v>
      </c>
      <c r="AY15" s="98">
        <f>Bredde/(Loa+Lwl)*2</f>
        <v>0.37073170731707322</v>
      </c>
      <c r="AZ15" s="98">
        <f>(Kjøl+Ballast)/Depl</f>
        <v>0.34782608695652173</v>
      </c>
      <c r="BA15" s="288">
        <f>BA$7*((Depl-Kjøl-Ballast-VektMotor/1000-VektAnnet/1000)/Loa/Lwl/Bredde)</f>
        <v>1.0453552958896717</v>
      </c>
      <c r="BB15" s="98">
        <f>BB$7*(Depl/Loa/Lwl/Lwl)</f>
        <v>1.1770101478998207</v>
      </c>
      <c r="BC15" s="178">
        <f>BC$7*(Depl/Loa/Lwl/Bredde)</f>
        <v>1.0964653744342343</v>
      </c>
      <c r="BD15" s="98">
        <f>BD$7*Bredde/(Loa+Lwl)*2</f>
        <v>1.057581956464726</v>
      </c>
      <c r="BE15" s="98">
        <f>BE$7*(Dypg/Lwl)</f>
        <v>1.0983062685524707</v>
      </c>
      <c r="BF15" s="58" t="s">
        <v>24</v>
      </c>
      <c r="BG15" s="296">
        <v>3</v>
      </c>
      <c r="BH15" s="296">
        <v>85</v>
      </c>
      <c r="BI15" s="47">
        <f t="shared" si="200"/>
        <v>1</v>
      </c>
      <c r="BJ15" s="61"/>
      <c r="BK15" s="61"/>
      <c r="BM15" s="214"/>
      <c r="BN15" s="214" t="str">
        <f>$A15</f>
        <v>RS 30 Risør II</v>
      </c>
      <c r="BO15" s="10"/>
      <c r="BP15" s="10"/>
      <c r="BQ15" s="10"/>
      <c r="BR15" s="10"/>
      <c r="BS15" s="52"/>
      <c r="BT15" s="214" t="str">
        <f>$A15</f>
        <v>RS 30 Risør II</v>
      </c>
      <c r="BU15" s="10"/>
      <c r="BV15" s="10"/>
      <c r="BW15" s="10"/>
      <c r="BX15" s="10"/>
      <c r="BY15" s="10"/>
      <c r="BZ15" s="10"/>
      <c r="CA15" s="10"/>
      <c r="CB15" s="10"/>
      <c r="CC15" s="10"/>
      <c r="CD15" s="214"/>
      <c r="CE15" s="10"/>
      <c r="CF15" s="214" t="str">
        <f>$A15</f>
        <v>RS 30 Risør II</v>
      </c>
      <c r="CG15" s="212"/>
      <c r="CH15" s="212"/>
      <c r="CI15" s="119"/>
      <c r="CJ15" s="212"/>
      <c r="CK15" s="208"/>
      <c r="CL15" s="208" t="s">
        <v>26</v>
      </c>
      <c r="CM15" s="110" t="str">
        <f t="shared" si="234"/>
        <v>-</v>
      </c>
      <c r="CN15" s="64" t="str">
        <f>IF(SeilBeregnet=0,"-",(SeilBeregnet)^(1/2)*StHfaktor/(Depl+DeplTillegg/1000+Vann/1000+Diesel/1000*0.84)^(1/3))</f>
        <v>-</v>
      </c>
      <c r="CO15" s="64" t="str">
        <f t="shared" si="203"/>
        <v>-</v>
      </c>
      <c r="CP15" s="64" t="str">
        <f t="shared" si="204"/>
        <v>-</v>
      </c>
      <c r="CQ15" s="110" t="str">
        <f t="shared" si="205"/>
        <v>-</v>
      </c>
      <c r="CR15" s="172">
        <f t="shared" si="235"/>
        <v>0.91105882352941181</v>
      </c>
      <c r="CS15" s="162">
        <v>0.88</v>
      </c>
      <c r="CT15" s="172" t="str">
        <f t="shared" si="236"/>
        <v>-</v>
      </c>
      <c r="CU15" s="164">
        <v>1.17</v>
      </c>
      <c r="CV15" s="195" t="s">
        <v>145</v>
      </c>
      <c r="CW15" s="30" t="s">
        <v>26</v>
      </c>
      <c r="CX15" s="30" t="s">
        <v>26</v>
      </c>
      <c r="CY15" s="30" t="s">
        <v>26</v>
      </c>
      <c r="CZ15" s="153">
        <v>2022</v>
      </c>
      <c r="DA15" s="64" t="str">
        <f t="shared" si="210"/>
        <v>-</v>
      </c>
      <c r="DB15" s="49">
        <f t="shared" si="206"/>
        <v>13.594344752582927</v>
      </c>
      <c r="DC15" s="50">
        <f t="shared" si="207"/>
        <v>0</v>
      </c>
      <c r="DE15" s="110" t="str">
        <f>IF(SeilBeregnet=0,"-",DE$7*(DG:DG+DE$6)*DL:DL*PropF+ErfaringsF+Dyp_F)</f>
        <v>-</v>
      </c>
      <c r="DF15" s="144" t="str">
        <f t="shared" ref="DF15:DF28" si="257">IF($DQ15=0,"-",(DE15-$DO15)*100)</f>
        <v>-</v>
      </c>
      <c r="DG15" s="110" t="e">
        <f t="shared" si="208"/>
        <v>#REF!</v>
      </c>
      <c r="DH15" s="136" t="e">
        <f>IF(SeilBeregnet=0,#REF!,(SeilBeregnet^0.5/(Depl^0.3333))^DH$3*DH$7)</f>
        <v>#REF!</v>
      </c>
      <c r="DI15" s="136" t="e">
        <f>IF(SeilBeregnet=0,#REF!,(SeilBeregnet^0.5/Lwl)^DI$3*DI$7)</f>
        <v>#REF!</v>
      </c>
      <c r="DJ15" s="136" t="e">
        <f>IF(SeilBeregnet=0,#REF!,(0.1*Loa/Depl^0.3333)^DJ$3*DJ$7)</f>
        <v>#REF!</v>
      </c>
      <c r="DK15" s="136" t="e">
        <f>IF(SeilBeregnet=0,#REF!,((Loa)/Bredde)^DK$3*DK$7)</f>
        <v>#REF!</v>
      </c>
      <c r="DL15" s="110" t="e">
        <f>IF(SeilBeregnet=0,#REF!,(Lwl)^DL$3)</f>
        <v>#REF!</v>
      </c>
      <c r="DM15" s="136" t="e">
        <f>IF(SeilBeregnet=0,#REF!,(Dypg/Loa)^DM$3*5*DM$7)</f>
        <v>#REF!</v>
      </c>
      <c r="DO15" s="110" t="str">
        <f t="shared" ref="DO15:DO242" si="258">IF(SeilBeregnet=0,"-",Skaleringsfaktor*(1*(LBf+SaDeplf)*Lf*PropF+Strikkf2)+ErfaringsF+Dyp_F)</f>
        <v>-</v>
      </c>
      <c r="DP15" s="110" t="str">
        <f t="shared" si="211"/>
        <v>-</v>
      </c>
      <c r="DR15" s="110" t="str">
        <f t="shared" si="212"/>
        <v>-</v>
      </c>
      <c r="DS15" s="125" t="str">
        <f t="shared" ref="DS15:DS28" si="259">IF($DQ15=0,"-",DR15-$DO15)</f>
        <v>-</v>
      </c>
      <c r="DT15" s="110" t="str">
        <f t="shared" si="213"/>
        <v>-</v>
      </c>
      <c r="DU15" s="125" t="str">
        <f t="shared" ref="DU15:DU28" si="260">IF($DQ15=0,"-",DT15-$DO15)</f>
        <v>-</v>
      </c>
      <c r="DV15" s="110" t="e">
        <f>IF(SeilBeregnet=0,#REF!,SeilBeregnet^0.5/Depl^0.33333)</f>
        <v>#REF!</v>
      </c>
      <c r="DW15" s="110" t="e">
        <f>IF(SeilBeregnet=0,#REF!,Lwl^0.3333)</f>
        <v>#REF!</v>
      </c>
      <c r="DX15" s="110" t="e">
        <f>IF(SeilBeregnet=0,#REF!,((Loa+Lwl)/Bredde)^DX$3)</f>
        <v>#REF!</v>
      </c>
      <c r="DZ15" s="110" t="str">
        <f t="shared" si="216"/>
        <v>-</v>
      </c>
      <c r="EB15" s="110" t="e">
        <f>IF(SeilBeregnet=0,#REF!,SeilBeregnet^0.5/Depl^0.33333)</f>
        <v>#REF!</v>
      </c>
      <c r="EC15" s="110" t="e">
        <f>IF(SeilBeregnet=0,#REF!,Lwl^EC$3)</f>
        <v>#REF!</v>
      </c>
      <c r="ED15" s="110" t="e">
        <f>IF(SeilBeregnet=0,#REF!,((Loa+Lwl)/Bredde)^ED$3)</f>
        <v>#REF!</v>
      </c>
      <c r="EE15" s="110" t="str">
        <f t="shared" si="218"/>
        <v>-</v>
      </c>
      <c r="EG15" s="110" t="e">
        <f>IF(SeilBeregnet=0,#REF!,(EH15*EI15)^EG$3)</f>
        <v>#REF!</v>
      </c>
      <c r="EH15" s="110" t="e">
        <f>IF(SeilBeregnet=0,#REF!,SeilBeregnet^0.5/Depl^0.33333)</f>
        <v>#REF!</v>
      </c>
      <c r="EI15" s="110" t="e">
        <f>IF(SeilBeregnet=0,#REF!,((Loa+Lwl)/Bredde)^EI$3)</f>
        <v>#REF!</v>
      </c>
      <c r="EJ15" s="110" t="e">
        <f>IF(SeilBeregnet=0,#REF!,Lwl^EJ$3)</f>
        <v>#REF!</v>
      </c>
      <c r="EK15" s="110" t="str">
        <f>IF(SeilBeregnet=0,"-",EK$7*(EK$4*EM:EM+EK$6)*EP:EP*PropF+ErfaringsF+Dyp_F)</f>
        <v>-</v>
      </c>
      <c r="EM15" s="110" t="e">
        <f>IF(SeilBeregnet=0,#REF!,(EN:EN*EO:EO)^EM$3)</f>
        <v>#REF!</v>
      </c>
      <c r="EN15" s="110" t="e">
        <f>IF(SeilBeregnet=0,#REF!,SeilBeregnet^0.5/Depl^0.33333)</f>
        <v>#REF!</v>
      </c>
      <c r="EO15" s="110" t="e">
        <f>IF(SeilBeregnet=0,#REF!,((Loa+Lwl)/Bredde/6)^EO$3)</f>
        <v>#REF!</v>
      </c>
      <c r="EP15" s="110" t="e">
        <f>IF(SeilBeregnet=0,#REF!,(Lwl*0.7+Loa*0.3)^EP$3)</f>
        <v>#REF!</v>
      </c>
      <c r="EQ15" s="110" t="str">
        <f>IF(SeilBeregnet=0,"-",EQ$7*(ES:ES+EQ$6)*EV:EV*PropF+ErfaringsF+Dyp_F)</f>
        <v>-</v>
      </c>
      <c r="ES15" s="110" t="e">
        <f>(ET:ET*EU:EU)^ES$3</f>
        <v>#REF!</v>
      </c>
      <c r="ET15" s="110" t="e">
        <f>IF(SeilBeregnet=0,#REF!,SeilBeregnet^0.5/Depl^0.3333)</f>
        <v>#REF!</v>
      </c>
      <c r="EU15" s="110" t="e">
        <f>IF(SeilBeregnet=0,#REF!,((Loa+Lwl)/Bredde/6)^EU$3)</f>
        <v>#REF!</v>
      </c>
      <c r="EV15" s="110" t="e">
        <f>IF(SeilBeregnet=0,#REF!,(Lwl*0.7+Loa*0.3)^EV$3)</f>
        <v>#REF!</v>
      </c>
      <c r="EW15" s="110" t="str">
        <f>IF(SeilBeregnet=0,"-",EW$7*(EY:EY+EW$6)*FB:FB*PropF+ErfaringsF+Dyp_F)</f>
        <v>-</v>
      </c>
      <c r="EX15" s="144" t="str">
        <f t="shared" ref="EX15:EX28" si="261">IF($DQ15=0,"-",(EW15-$DO15)*100)</f>
        <v>-</v>
      </c>
      <c r="EY15" s="110" t="e">
        <f>(EZ:EZ*FA:FA)^EY$3</f>
        <v>#REF!</v>
      </c>
      <c r="EZ15" s="136" t="e">
        <f>IF(SeilBeregnet=0,#REF!,(SeilBeregnet^0.5/(Depl^0.3333))^EZ$3)</f>
        <v>#REF!</v>
      </c>
      <c r="FA15" s="136" t="e">
        <f>IF(SeilBeregnet=0,#REF!,((Loa+Lwl)/Bredde/6)^FA$3)</f>
        <v>#REF!</v>
      </c>
      <c r="FB15" s="110" t="e">
        <f>IF(SeilBeregnet=0,#REF!,(Lwl*0.07+Loa*0.03)^FB$3)</f>
        <v>#REF!</v>
      </c>
      <c r="FC15" s="110" t="str">
        <f>IF(SeilBeregnet=0,"-",FC$7*(FE:FE+FC$6)*FI:FI*PropF+ErfaringsF+Dyp_F)</f>
        <v>-</v>
      </c>
      <c r="FD15" s="144" t="str">
        <f t="shared" ref="FD15:FD28" si="262">IF($DQ15=0,"-",(FC15-$DO15)*100)</f>
        <v>-</v>
      </c>
      <c r="FE15" s="110" t="e">
        <f>(FF:FF+FG:FG+FH:FH)^FE$3+FE$7</f>
        <v>#REF!</v>
      </c>
      <c r="FF15" s="136" t="e">
        <f>IF(SeilBeregnet=0,#REF!,(SeilBeregnet^0.5/(Depl^0.3333))^FF$3)</f>
        <v>#REF!</v>
      </c>
      <c r="FG15" s="136" t="e">
        <f>IF(SeilBeregnet=0,#REF!,(SeilBeregnet^0.5/Lwl*FG$7)^FG$3)</f>
        <v>#REF!</v>
      </c>
      <c r="FH15" s="136" t="e">
        <f>IF(SeilBeregnet=0,#REF!,((Loa)/Bredde)^FH$3*FH$7)</f>
        <v>#REF!</v>
      </c>
      <c r="FI15" s="110" t="e">
        <f>IF(SeilBeregnet=0,#REF!,(Lwl)^FI$3)</f>
        <v>#REF!</v>
      </c>
      <c r="FJ15" s="110" t="str">
        <f>IF(SeilBeregnet=0,"-",FJ$7*(FL:FL+FJ$6)*FO:FO*PropF+ErfaringsF+Dyp_F)</f>
        <v>-</v>
      </c>
      <c r="FK15" s="144" t="str">
        <f t="shared" ref="FK15:FK28" si="263">IF($DQ15=0,"-",(FJ15-$DO15)*100)</f>
        <v>-</v>
      </c>
      <c r="FL15" s="110" t="e">
        <f>(FM:FM*FN:FN)^FL$3</f>
        <v>#REF!</v>
      </c>
      <c r="FM15" s="136" t="e">
        <f>IF(SeilBeregnet=0,#REF!,(SeilBeregnet^0.5/(Depl^0.3333))^FM$3)</f>
        <v>#REF!</v>
      </c>
      <c r="FN15" s="136" t="e">
        <f>IF(SeilBeregnet=0,#REF!,(Loa/Bredde)^FN$3)</f>
        <v>#REF!</v>
      </c>
      <c r="FO15" s="110" t="e">
        <f>IF(SeilBeregnet=0,#REF!,Lwl^FO$3)</f>
        <v>#REF!</v>
      </c>
      <c r="FQ15">
        <v>0.95</v>
      </c>
      <c r="FR15" s="64" t="str">
        <f t="shared" ref="FR15:FR28" si="264">IF(SeilBeregnet=0,"-",0.06*2.43^(1/2)*(SeilBeregnet^(1/2)/Depl^(1/3)+(Loa/Bredde)^(1/2)+5*(Dypg/Loa)^(1/2))*Lwl^(1/4)*FQ15)</f>
        <v>-</v>
      </c>
      <c r="FS15" s="480" t="s">
        <v>486</v>
      </c>
      <c r="FT15" s="59" t="s">
        <v>590</v>
      </c>
      <c r="FU15" s="475" t="s">
        <v>731</v>
      </c>
      <c r="FV15" s="542" t="s">
        <v>670</v>
      </c>
      <c r="FW15" s="59" t="s">
        <v>668</v>
      </c>
      <c r="FX15" s="59" t="s">
        <v>697</v>
      </c>
      <c r="FY15" s="59" t="s">
        <v>455</v>
      </c>
      <c r="FZ15" s="59" t="s">
        <v>504</v>
      </c>
      <c r="GB15" s="59" t="s">
        <v>669</v>
      </c>
      <c r="GC15" s="475" t="s">
        <v>727</v>
      </c>
      <c r="GD15" s="60" t="s">
        <v>730</v>
      </c>
      <c r="GE15" s="60" t="s">
        <v>728</v>
      </c>
      <c r="GF15" s="60" t="s">
        <v>729</v>
      </c>
      <c r="GG15" s="60" t="s">
        <v>455</v>
      </c>
      <c r="GI15" s="59" t="s">
        <v>514</v>
      </c>
      <c r="GJ15" s="59" t="s">
        <v>506</v>
      </c>
      <c r="GK15" s="59" t="s">
        <v>508</v>
      </c>
      <c r="GL15" s="59" t="s">
        <v>510</v>
      </c>
      <c r="GM15" s="59">
        <v>1914</v>
      </c>
      <c r="GN15" s="59" t="s">
        <v>512</v>
      </c>
      <c r="GO15" s="59" t="s">
        <v>511</v>
      </c>
      <c r="GP15" s="59" t="s">
        <v>726</v>
      </c>
    </row>
    <row r="16" spans="1:198" ht="15.6" x14ac:dyDescent="0.3">
      <c r="A16" s="62" t="s">
        <v>27</v>
      </c>
      <c r="B16" s="223"/>
      <c r="C16" s="63" t="str">
        <f>C15</f>
        <v>Gaffel</v>
      </c>
      <c r="D16" s="63"/>
      <c r="E16" s="63"/>
      <c r="F16" s="63"/>
      <c r="G16" s="56"/>
      <c r="H16" s="209">
        <f>TBFavrundet</f>
        <v>90.5</v>
      </c>
      <c r="I16" s="65">
        <f>COUNTA(O16:AD16)</f>
        <v>5</v>
      </c>
      <c r="J16" s="228">
        <f>SUM(O16:AD16)</f>
        <v>127.6</v>
      </c>
      <c r="K16" s="119">
        <f>Seilareal/Depl^0.667/K$7</f>
        <v>1.0995847269369616</v>
      </c>
      <c r="L16" s="119">
        <f>Seilareal/Lwl/Lwl/L$7</f>
        <v>1.2490762343965534</v>
      </c>
      <c r="M16" s="95">
        <f>RiggF</f>
        <v>0.77742946708463956</v>
      </c>
      <c r="N16" s="265">
        <f>StHfaktor</f>
        <v>0.99602959901609622</v>
      </c>
      <c r="O16" s="147"/>
      <c r="P16" s="147"/>
      <c r="Q16" s="88">
        <f t="shared" ref="Q16:Q17" si="265">Q15</f>
        <v>29.9</v>
      </c>
      <c r="R16" s="147"/>
      <c r="S16" s="147"/>
      <c r="T16" s="88">
        <f t="shared" ref="T16:U16" si="266">T15</f>
        <v>21.9</v>
      </c>
      <c r="U16" s="88">
        <f t="shared" si="266"/>
        <v>48.9</v>
      </c>
      <c r="V16" s="148"/>
      <c r="W16" s="148"/>
      <c r="X16" s="88">
        <f t="shared" ref="X16:Y16" si="267">X15</f>
        <v>14</v>
      </c>
      <c r="Y16" s="88">
        <f t="shared" si="267"/>
        <v>12.9</v>
      </c>
      <c r="Z16" s="147"/>
      <c r="AA16" s="147"/>
      <c r="AB16" s="147"/>
      <c r="AC16" s="147"/>
      <c r="AD16" s="147"/>
      <c r="AE16" s="260">
        <f t="shared" ref="AE16" si="268">AE15</f>
        <v>12.06</v>
      </c>
      <c r="AF16" s="375" t="str">
        <f t="shared" ref="AF16:AH16" si="269" xml:space="preserve"> AF15</f>
        <v>Clipper</v>
      </c>
      <c r="AG16" s="377"/>
      <c r="AH16" s="375">
        <f t="shared" si="269"/>
        <v>0</v>
      </c>
      <c r="AI16" s="377"/>
      <c r="AJ16" s="295" t="str">
        <f t="shared" ref="AJ16" si="270" xml:space="preserve"> AJ15</f>
        <v>RS</v>
      </c>
      <c r="AK16" s="47">
        <f>VLOOKUP(AJ16,Skrogform!$1:$1048576,3,FALSE)</f>
        <v>0.97</v>
      </c>
      <c r="AL16" s="66">
        <f t="shared" ref="AL16:AT18" si="271">AL15</f>
        <v>14.2</v>
      </c>
      <c r="AM16" s="66">
        <f t="shared" si="271"/>
        <v>12.45</v>
      </c>
      <c r="AN16" s="66">
        <f t="shared" si="271"/>
        <v>4.9400000000000004</v>
      </c>
      <c r="AO16" s="66">
        <f t="shared" si="271"/>
        <v>2.5</v>
      </c>
      <c r="AP16" s="66">
        <f t="shared" si="271"/>
        <v>34.5</v>
      </c>
      <c r="AQ16" s="66">
        <f t="shared" si="271"/>
        <v>5</v>
      </c>
      <c r="AR16" s="66">
        <f t="shared" si="271"/>
        <v>7</v>
      </c>
      <c r="AS16" s="284">
        <f t="shared" si="271"/>
        <v>135</v>
      </c>
      <c r="AT16" s="284">
        <f t="shared" si="271"/>
        <v>1300</v>
      </c>
      <c r="AU16" s="284">
        <f t="shared" ref="AU16:AV16" si="272">AU15</f>
        <v>300</v>
      </c>
      <c r="AV16" s="284">
        <f t="shared" si="272"/>
        <v>300</v>
      </c>
      <c r="AW16" s="284"/>
      <c r="AX16" s="284">
        <f>AX15</f>
        <v>100</v>
      </c>
      <c r="AY16" s="68"/>
      <c r="AZ16" s="68"/>
      <c r="BA16" s="289"/>
      <c r="BB16" s="68"/>
      <c r="BC16" s="179"/>
      <c r="BD16" s="68"/>
      <c r="BE16" s="68"/>
      <c r="BF16" s="67" t="str">
        <f t="shared" ref="BF16:BH18" si="273" xml:space="preserve"> BF15</f>
        <v>Seilrett</v>
      </c>
      <c r="BG16" s="295">
        <f t="shared" si="273"/>
        <v>3</v>
      </c>
      <c r="BH16" s="295">
        <f t="shared" si="273"/>
        <v>85</v>
      </c>
      <c r="BI16" s="47">
        <f t="shared" si="200"/>
        <v>1</v>
      </c>
      <c r="BJ16" s="61"/>
      <c r="BK16" s="61"/>
      <c r="BM16" s="51">
        <f t="shared" ref="BM16:BR18" si="274">IF(O16=0,0,O16*BM$9)</f>
        <v>0</v>
      </c>
      <c r="BN16" s="51">
        <f t="shared" si="274"/>
        <v>0</v>
      </c>
      <c r="BO16" s="51">
        <f t="shared" si="274"/>
        <v>29.9</v>
      </c>
      <c r="BP16" s="51">
        <f t="shared" si="274"/>
        <v>0</v>
      </c>
      <c r="BQ16" s="51">
        <f t="shared" si="274"/>
        <v>0</v>
      </c>
      <c r="BR16" s="51">
        <f t="shared" si="274"/>
        <v>21.9</v>
      </c>
      <c r="BS16" s="52">
        <f>IF(COUNT(P16:T16)&gt;1,MINA(P16:T16)*BS$9,0)</f>
        <v>-6.5699999999999994</v>
      </c>
      <c r="BT16" s="88">
        <f t="shared" ref="BT16:CC18" si="275">IF(U16=0,0,U16*BT$9)</f>
        <v>39.120000000000005</v>
      </c>
      <c r="BU16" s="88">
        <f t="shared" si="275"/>
        <v>0</v>
      </c>
      <c r="BV16" s="88">
        <f t="shared" si="275"/>
        <v>0</v>
      </c>
      <c r="BW16" s="88">
        <f t="shared" si="275"/>
        <v>8.4</v>
      </c>
      <c r="BX16" s="88">
        <f t="shared" si="275"/>
        <v>6.45</v>
      </c>
      <c r="BY16" s="88">
        <f t="shared" si="275"/>
        <v>0</v>
      </c>
      <c r="BZ16" s="88">
        <f t="shared" si="275"/>
        <v>0</v>
      </c>
      <c r="CA16" s="88">
        <f t="shared" si="275"/>
        <v>0</v>
      </c>
      <c r="CB16" s="88">
        <f t="shared" si="275"/>
        <v>0</v>
      </c>
      <c r="CC16" s="88">
        <f t="shared" si="275"/>
        <v>0</v>
      </c>
      <c r="CD16" s="103">
        <f>SUM(BM16:CC16)</f>
        <v>99.2</v>
      </c>
      <c r="CE16" s="52"/>
      <c r="CF16" s="107">
        <f>J16</f>
        <v>127.6</v>
      </c>
      <c r="CG16" s="104">
        <f>CD16/CF16</f>
        <v>0.77742946708463956</v>
      </c>
      <c r="CH16" s="53">
        <f>Seilareal/Lwl/Lwl</f>
        <v>0.82321252883018015</v>
      </c>
      <c r="CI16" s="119">
        <f>Seilareal/Depl^0.667/K$7</f>
        <v>1.0995847269369616</v>
      </c>
      <c r="CJ16" s="53">
        <f>Seilareal/Lwl/Lwl/SApRS1</f>
        <v>1.2490762343965534</v>
      </c>
      <c r="CK16" s="209"/>
      <c r="CL16" s="209">
        <f>_xlfn.SINGLE(IF((ROUND(_xlfn.SINGLE(TBF)/CL$6,3)*CL$6)*CL$4&lt;0.5,"-",(ROUND(_xlfn.SINGLE(TBF)/CL$6,3)*CL$6)*CL$4))</f>
        <v>90.5</v>
      </c>
      <c r="CM16" s="110">
        <f t="shared" si="234"/>
        <v>0.90580366360749531</v>
      </c>
      <c r="CN16" s="64">
        <f>IF(SeilBeregnet=0,"-",(SeilBeregnet)^(1/2)*StHfaktor/(Depl+DeplTillegg/1000+Vann/1000+Diesel/1000*0.84)^(1/3))</f>
        <v>3.0255209194924348</v>
      </c>
      <c r="CO16" s="64">
        <f t="shared" si="203"/>
        <v>1.6423667133294657</v>
      </c>
      <c r="CP16" s="64">
        <f t="shared" si="204"/>
        <v>1.878418417945126</v>
      </c>
      <c r="CQ16" s="110">
        <f t="shared" si="205"/>
        <v>0.99602959901609622</v>
      </c>
      <c r="CR16" s="172">
        <f t="shared" si="235"/>
        <v>0.91105882352941181</v>
      </c>
      <c r="CS16" s="163">
        <f>CS15</f>
        <v>0.88</v>
      </c>
      <c r="CT16" s="172">
        <f t="shared" si="236"/>
        <v>0.90315789473684216</v>
      </c>
      <c r="CU16" s="163">
        <f>CU15</f>
        <v>1.17</v>
      </c>
      <c r="CV16" s="195" t="s">
        <v>145</v>
      </c>
      <c r="CW16" s="64">
        <v>0.88</v>
      </c>
      <c r="CX16" s="64">
        <v>0.87</v>
      </c>
      <c r="CY16" s="64">
        <v>0.87</v>
      </c>
      <c r="CZ16" s="154">
        <v>0.92</v>
      </c>
      <c r="DA16" s="64">
        <f t="shared" si="210"/>
        <v>2.1595647629415629</v>
      </c>
      <c r="DB16" s="49">
        <f t="shared" si="206"/>
        <v>13.594344752582927</v>
      </c>
      <c r="DC16" s="50">
        <f t="shared" si="207"/>
        <v>0</v>
      </c>
      <c r="DE16" s="110">
        <f>IF(SeilBeregnet=0,"-",DE$7*(DG:DG+DE$6)*DL:DL*PropF+ErfaringsF+Dyp_F)</f>
        <v>0.90217437169435766</v>
      </c>
      <c r="DF16" s="144">
        <f t="shared" si="257"/>
        <v>-3.1643838210276609</v>
      </c>
      <c r="DG16" s="110">
        <f t="shared" si="208"/>
        <v>4.7552874462857053</v>
      </c>
      <c r="DH16" s="136">
        <f t="shared" ref="DH16:DH22" si="276">IF(SeilBeregnet=0,DH15,(SeilBeregnet^0.5/(Depl^0.3333))^DH$3*DH$7)</f>
        <v>3.0598541898212974</v>
      </c>
      <c r="DI16" s="136">
        <f t="shared" ref="DI16:DI22" si="277">IF(SeilBeregnet=0,DI15,(SeilBeregnet^0.5/Lwl)^DI$3*DI$7)</f>
        <v>0</v>
      </c>
      <c r="DJ16" s="136">
        <f t="shared" ref="DJ16:DJ22" si="278">IF(SeilBeregnet=0,DJ15,(0.1*Loa/Depl^0.3333)^DJ$3*DJ$7)</f>
        <v>0</v>
      </c>
      <c r="DK16" s="136">
        <f t="shared" ref="DK16:DK22" si="279">IF(SeilBeregnet=0,DK15,((Loa)/Bredde)^DK$3*DK$7)</f>
        <v>1.6954332564644077</v>
      </c>
      <c r="DL16" s="110">
        <f t="shared" ref="DL16:DL22" si="280">IF(SeilBeregnet=0,DL15,(Lwl)^DL$3)</f>
        <v>1.878418417945126</v>
      </c>
      <c r="DM16" s="136">
        <f t="shared" ref="DM16:DM22" si="281">IF(SeilBeregnet=0,DM15,(Dypg/Loa)^DM$3*5*DM$7)</f>
        <v>2.0979533957417229</v>
      </c>
      <c r="DO16" s="74">
        <f t="shared" si="258"/>
        <v>0.93381820990463427</v>
      </c>
      <c r="DP16" s="110">
        <f t="shared" si="211"/>
        <v>0.92958786561285522</v>
      </c>
      <c r="DQ16" s="125">
        <f>DP16-DO16</f>
        <v>-4.2303442917790424E-3</v>
      </c>
      <c r="DR16" s="110">
        <f t="shared" si="212"/>
        <v>0.90965243799829043</v>
      </c>
      <c r="DS16" s="125">
        <f t="shared" si="259"/>
        <v>-2.4165771906343836E-2</v>
      </c>
      <c r="DT16" s="110">
        <f t="shared" si="213"/>
        <v>0.90278127472881853</v>
      </c>
      <c r="DU16" s="125">
        <f t="shared" si="260"/>
        <v>-3.1036935175815739E-2</v>
      </c>
      <c r="DV16" s="110">
        <f t="shared" ref="DV16:DV22" si="282">IF(SeilBeregnet=0,DV15,SeilBeregnet^0.5/Depl^0.33333)</f>
        <v>3.0595291625085208</v>
      </c>
      <c r="DW16" s="110">
        <f t="shared" ref="DW16:DW22" si="283">IF(SeilBeregnet=0,DW15,Lwl^0.3333)</f>
        <v>2.317501078004538</v>
      </c>
      <c r="DX16" s="110">
        <f t="shared" ref="DX16:DX22" si="284">IF(SeilBeregnet=0,DX15,((Loa+Lwl)/Bredde)^DX$3)</f>
        <v>1.5240266665582514</v>
      </c>
      <c r="DZ16" s="110">
        <f t="shared" si="216"/>
        <v>0.89763436207994018</v>
      </c>
      <c r="EB16" s="110">
        <f t="shared" ref="EB16:EB22" si="285">IF(SeilBeregnet=0,EB15,SeilBeregnet^0.5/Depl^0.33333)</f>
        <v>3.0595291625085208</v>
      </c>
      <c r="EC16" s="110">
        <f t="shared" ref="EC16:EC22" si="286">IF(SeilBeregnet=0,EC15,Lwl^EC$3)</f>
        <v>2.3176764073442899</v>
      </c>
      <c r="ED16" s="110">
        <f t="shared" ref="ED16:ED22" si="287">IF(SeilBeregnet=0,ED15,((Loa+Lwl)/Bredde)^ED$3)</f>
        <v>1.7537419443002733</v>
      </c>
      <c r="EE16" s="110">
        <f t="shared" si="218"/>
        <v>0.9010369450717185</v>
      </c>
      <c r="EG16" s="110">
        <f t="shared" ref="EG16:EG22" si="288">IF(SeilBeregnet=0,EG15,(EH16*EI16)^EG$3)</f>
        <v>4.6628040307756198</v>
      </c>
      <c r="EH16" s="110">
        <f t="shared" ref="EH16:EH22" si="289">IF(SeilBeregnet=0,EH15,SeilBeregnet^0.5/Depl^0.33333)</f>
        <v>3.0595291625085208</v>
      </c>
      <c r="EI16" s="110">
        <f t="shared" ref="EI16:EI22" si="290">IF(SeilBeregnet=0,EI15,((Loa+Lwl)/Bredde)^EI$3)</f>
        <v>1.5240266665582514</v>
      </c>
      <c r="EJ16" s="110">
        <f t="shared" ref="EJ16:EJ22" si="291">IF(SeilBeregnet=0,EJ15,Lwl^EJ$3)</f>
        <v>1.878418417945126</v>
      </c>
      <c r="EK16" s="110">
        <f>IF(SeilBeregnet=0,"-",EK$7*(EK$4*EM:EM+EK$6)*EP:EP*PropF+ErfaringsF+Dyp_F)</f>
        <v>0.90346898687537169</v>
      </c>
      <c r="EM16" s="110">
        <f>IF(SeilBeregnet=0,EM15,(EN:EN*EO:EO)^EM$3)</f>
        <v>1.7260551792789842</v>
      </c>
      <c r="EN16" s="110">
        <f t="shared" ref="EN16:EN22" si="292">IF(SeilBeregnet=0,EN15,SeilBeregnet^0.5/Depl^0.33333)</f>
        <v>3.0595291625085208</v>
      </c>
      <c r="EO16" s="110">
        <f t="shared" ref="EO16:EO22" si="293">IF(SeilBeregnet=0,EO15,((Loa+Lwl)/Bredde/6)^EO$3)</f>
        <v>0.97376632928482798</v>
      </c>
      <c r="EP16" s="110">
        <f t="shared" ref="EP16:EP22" si="294">IF(SeilBeregnet=0,EP15,(Lwl*0.7+Loa*0.3)^EP$3)</f>
        <v>1.8979153645159141</v>
      </c>
      <c r="EQ16" s="110">
        <f>IF(SeilBeregnet=0,"-",EQ$7*(ES:ES+EQ$6)*EV:EV*PropF+ErfaringsF+Dyp_F)</f>
        <v>0.89646336626732293</v>
      </c>
      <c r="ES16" s="110">
        <f>(ET:ET*EU:EU)^ES$3</f>
        <v>1.7261468600814607</v>
      </c>
      <c r="ET16" s="110">
        <f t="shared" ref="ET16:ET22" si="295">IF(SeilBeregnet=0,ET15,SeilBeregnet^0.5/Depl^0.3333)</f>
        <v>3.0598541898212974</v>
      </c>
      <c r="EU16" s="110">
        <f t="shared" ref="EU16:EU22" si="296">IF(SeilBeregnet=0,EU15,((Loa+Lwl)/Bredde/6)^EU$3)</f>
        <v>0.97376632928482798</v>
      </c>
      <c r="EV16" s="110">
        <f t="shared" ref="EV16:EV22" si="297">IF(SeilBeregnet=0,EV15,(Lwl*0.7+Loa*0.3)^EV$3)</f>
        <v>1.8979153645159141</v>
      </c>
      <c r="EW16" s="110">
        <f>IF(SeilBeregnet=0,"-",EW$7*(EY:EY+EW$6)*FB:FB*PropF+ErfaringsF+Dyp_F)</f>
        <v>0.8945294775239987</v>
      </c>
      <c r="EX16" s="144">
        <f t="shared" si="261"/>
        <v>-3.9288732380635571</v>
      </c>
      <c r="EY16" s="110">
        <f>(EZ:EZ*FA:FA)^EY$3</f>
        <v>2.9014175837358382</v>
      </c>
      <c r="EZ16" s="136">
        <f t="shared" ref="EZ16:EZ22" si="298">IF(SeilBeregnet=0,EZ15,(SeilBeregnet^0.5/(Depl^0.3333))^EZ$3)</f>
        <v>3.0598541898212974</v>
      </c>
      <c r="FA16" s="136">
        <f t="shared" ref="FA16:FA22" si="299">IF(SeilBeregnet=0,FA15,((Loa+Lwl)/Bredde/6)^FA$3)</f>
        <v>0.94822086404884798</v>
      </c>
      <c r="FB16" s="110">
        <f t="shared" ref="FB16:FB22" si="300">IF(SeilBeregnet=0,FB15,(Lwl*0.07+Loa*0.03)^FB$3)</f>
        <v>1.0672762411810035</v>
      </c>
      <c r="FC16" s="110">
        <f>IF(SeilBeregnet=0,"-",FC$7*(FE:FE+FC$6)*FI:FI*PropF+ErfaringsF+Dyp_F)</f>
        <v>0.91160956112908254</v>
      </c>
      <c r="FD16" s="144">
        <f t="shared" si="262"/>
        <v>-2.2208648775551731</v>
      </c>
      <c r="FE16" s="110">
        <f>(FF:FF+FG:FG+FH:FH)^FE$3+FE$7</f>
        <v>5.0552809947508441</v>
      </c>
      <c r="FF16" s="136">
        <f t="shared" ref="FF16:FF22" si="301">IF(SeilBeregnet=0,FF15,(SeilBeregnet^0.5/(Depl^0.3333))^FF$3)</f>
        <v>3.0598541898212974</v>
      </c>
      <c r="FG16" s="136">
        <f t="shared" ref="FG16:FG22" si="302">IF(SeilBeregnet=0,FG15,(SeilBeregnet^0.5/Lwl*FG$7)^FG$3)</f>
        <v>0.79999354846513948</v>
      </c>
      <c r="FH16" s="136">
        <f t="shared" ref="FH16:FH22" si="303">IF(SeilBeregnet=0,FH15,((Loa)/Bredde)^FH$3*FH$7)</f>
        <v>1.6954332564644077</v>
      </c>
      <c r="FI16" s="110">
        <f t="shared" ref="FI16:FI22" si="304">IF(SeilBeregnet=0,FI15,(Lwl)^FI$3)</f>
        <v>1.878418417945126</v>
      </c>
      <c r="FJ16" s="110">
        <f>IF(SeilBeregnet=0,"-",FJ$7*(FL:FL+FJ$6)*FO:FO*PropF+ErfaringsF+Dyp_F)</f>
        <v>0.89744160764040792</v>
      </c>
      <c r="FK16" s="144">
        <f t="shared" si="263"/>
        <v>-3.6376602264226343</v>
      </c>
      <c r="FL16" s="110">
        <f>(FM:FM*FN:FN)^FL$3</f>
        <v>5.1877785533549838</v>
      </c>
      <c r="FM16" s="136">
        <f t="shared" ref="FM16:FM22" si="305">IF(SeilBeregnet=0,FM15,(SeilBeregnet^0.5/(Depl^0.3333))^FM$3)</f>
        <v>3.0598541898212974</v>
      </c>
      <c r="FN16" s="136">
        <f t="shared" ref="FN16:FN22" si="306">IF(SeilBeregnet=0,FN15,(Loa/Bredde)^FN$3)</f>
        <v>1.6954332564644077</v>
      </c>
      <c r="FO16" s="110">
        <f t="shared" ref="FO16:FO22" si="307">IF(SeilBeregnet=0,FO15,Lwl^FO$3)</f>
        <v>1.878418417945126</v>
      </c>
      <c r="FQ16">
        <v>0.95</v>
      </c>
      <c r="FR16" s="64">
        <f t="shared" si="264"/>
        <v>1.1437824762547786</v>
      </c>
      <c r="FS16" s="479"/>
      <c r="FT16" s="18"/>
      <c r="FU16" s="481"/>
      <c r="FV16" s="504"/>
      <c r="FW16" s="18"/>
      <c r="FX16" s="18"/>
      <c r="FY16" s="18"/>
      <c r="FZ16" s="18"/>
      <c r="GB16" s="18"/>
      <c r="GC16" s="481"/>
      <c r="GD16" s="8"/>
      <c r="GE16" s="8"/>
      <c r="GF16" s="8"/>
      <c r="GG16" s="8"/>
      <c r="GI16" s="18"/>
      <c r="GJ16" s="18"/>
      <c r="GK16" s="18"/>
      <c r="GL16" s="18"/>
      <c r="GM16" s="18"/>
      <c r="GN16" s="18"/>
      <c r="GO16" s="18"/>
      <c r="GP16" s="18"/>
    </row>
    <row r="17" spans="1:198" ht="15.6" x14ac:dyDescent="0.3">
      <c r="A17" s="62" t="s">
        <v>28</v>
      </c>
      <c r="B17" s="223"/>
      <c r="C17" s="14" t="str">
        <f>C15</f>
        <v>Gaffel</v>
      </c>
      <c r="G17" s="56"/>
      <c r="H17" s="209">
        <f>TBFavrundet</f>
        <v>88.5</v>
      </c>
      <c r="I17" s="65">
        <f>COUNTA(O17:AD17)</f>
        <v>4</v>
      </c>
      <c r="J17" s="228">
        <f>SUM(O17:AD17)</f>
        <v>114.69999999999999</v>
      </c>
      <c r="K17" s="119">
        <f>Seilareal/Depl^0.667/K$7</f>
        <v>0.98841981332029394</v>
      </c>
      <c r="L17" s="119">
        <f>Seilareal/Lwl/Lwl/L$7</f>
        <v>1.1227981511385945</v>
      </c>
      <c r="M17" s="95">
        <f>RiggF</f>
        <v>0.80863121185701836</v>
      </c>
      <c r="N17" s="265">
        <f>StHfaktor</f>
        <v>0.99602959901609622</v>
      </c>
      <c r="O17" s="147"/>
      <c r="P17" s="147"/>
      <c r="Q17" s="88">
        <f t="shared" si="265"/>
        <v>29.9</v>
      </c>
      <c r="R17" s="147"/>
      <c r="S17" s="147"/>
      <c r="T17" s="88">
        <f t="shared" ref="T17:U17" si="308">T16</f>
        <v>21.9</v>
      </c>
      <c r="U17" s="88">
        <f t="shared" si="308"/>
        <v>48.9</v>
      </c>
      <c r="V17" s="148"/>
      <c r="W17" s="148"/>
      <c r="X17" s="88">
        <f t="shared" ref="X17" si="309">X16</f>
        <v>14</v>
      </c>
      <c r="Y17" s="147"/>
      <c r="Z17" s="147"/>
      <c r="AA17" s="147"/>
      <c r="AB17" s="147"/>
      <c r="AC17" s="147"/>
      <c r="AD17" s="147"/>
      <c r="AE17" s="260">
        <f t="shared" ref="AE17" si="310">AE16</f>
        <v>12.06</v>
      </c>
      <c r="AF17" s="375" t="str">
        <f t="shared" ref="AF17:AH17" si="311" xml:space="preserve"> AF16</f>
        <v>Clipper</v>
      </c>
      <c r="AG17" s="377"/>
      <c r="AH17" s="375">
        <f t="shared" si="311"/>
        <v>0</v>
      </c>
      <c r="AI17" s="377"/>
      <c r="AJ17" s="295" t="str">
        <f t="shared" ref="AJ17" si="312" xml:space="preserve"> AJ16</f>
        <v>RS</v>
      </c>
      <c r="AK17" s="47">
        <f>VLOOKUP(AJ17,Skrogform!$1:$1048576,3,FALSE)</f>
        <v>0.97</v>
      </c>
      <c r="AL17" s="66">
        <f t="shared" si="271"/>
        <v>14.2</v>
      </c>
      <c r="AM17" s="66">
        <f t="shared" si="271"/>
        <v>12.45</v>
      </c>
      <c r="AN17" s="66">
        <f t="shared" si="271"/>
        <v>4.9400000000000004</v>
      </c>
      <c r="AO17" s="66">
        <f t="shared" si="271"/>
        <v>2.5</v>
      </c>
      <c r="AP17" s="66">
        <f t="shared" si="271"/>
        <v>34.5</v>
      </c>
      <c r="AQ17" s="66">
        <f t="shared" si="271"/>
        <v>5</v>
      </c>
      <c r="AR17" s="66">
        <f t="shared" si="271"/>
        <v>7</v>
      </c>
      <c r="AS17" s="284">
        <f t="shared" ref="AS17:AT17" si="313">AS16</f>
        <v>135</v>
      </c>
      <c r="AT17" s="284">
        <f t="shared" si="313"/>
        <v>1300</v>
      </c>
      <c r="AU17" s="284">
        <f t="shared" ref="AU17:AV17" si="314">AU16</f>
        <v>300</v>
      </c>
      <c r="AV17" s="284">
        <f t="shared" si="314"/>
        <v>300</v>
      </c>
      <c r="AW17" s="284"/>
      <c r="AX17" s="284">
        <f>AX16</f>
        <v>100</v>
      </c>
      <c r="AY17" s="68"/>
      <c r="AZ17" s="68"/>
      <c r="BA17" s="289"/>
      <c r="BB17" s="68"/>
      <c r="BC17" s="179"/>
      <c r="BD17" s="68"/>
      <c r="BE17" s="68"/>
      <c r="BF17" s="67" t="str">
        <f t="shared" si="273"/>
        <v>Seilrett</v>
      </c>
      <c r="BG17" s="295">
        <f t="shared" si="273"/>
        <v>3</v>
      </c>
      <c r="BH17" s="295">
        <f t="shared" si="273"/>
        <v>85</v>
      </c>
      <c r="BI17" s="47">
        <f t="shared" si="200"/>
        <v>1</v>
      </c>
      <c r="BJ17" s="61"/>
      <c r="BK17" s="61"/>
      <c r="BM17" s="51">
        <f t="shared" si="274"/>
        <v>0</v>
      </c>
      <c r="BN17" s="51">
        <f t="shared" si="274"/>
        <v>0</v>
      </c>
      <c r="BO17" s="51">
        <f t="shared" si="274"/>
        <v>29.9</v>
      </c>
      <c r="BP17" s="51">
        <f t="shared" si="274"/>
        <v>0</v>
      </c>
      <c r="BQ17" s="51">
        <f t="shared" si="274"/>
        <v>0</v>
      </c>
      <c r="BR17" s="51">
        <f t="shared" si="274"/>
        <v>21.9</v>
      </c>
      <c r="BS17" s="52">
        <f>IF(COUNT(P17:T17)&gt;1,MINA(P17:T17)*BS$9,0)</f>
        <v>-6.5699999999999994</v>
      </c>
      <c r="BT17" s="88">
        <f t="shared" si="275"/>
        <v>39.120000000000005</v>
      </c>
      <c r="BU17" s="88">
        <f t="shared" si="275"/>
        <v>0</v>
      </c>
      <c r="BV17" s="88">
        <f t="shared" si="275"/>
        <v>0</v>
      </c>
      <c r="BW17" s="88">
        <f t="shared" si="275"/>
        <v>8.4</v>
      </c>
      <c r="BX17" s="88">
        <f t="shared" si="275"/>
        <v>0</v>
      </c>
      <c r="BY17" s="88">
        <f t="shared" si="275"/>
        <v>0</v>
      </c>
      <c r="BZ17" s="88">
        <f t="shared" si="275"/>
        <v>0</v>
      </c>
      <c r="CA17" s="88">
        <f t="shared" si="275"/>
        <v>0</v>
      </c>
      <c r="CB17" s="88">
        <f t="shared" si="275"/>
        <v>0</v>
      </c>
      <c r="CC17" s="88">
        <f t="shared" si="275"/>
        <v>0</v>
      </c>
      <c r="CD17" s="103">
        <f>SUM(BM17:CC17)</f>
        <v>92.75</v>
      </c>
      <c r="CE17" s="52"/>
      <c r="CF17" s="107">
        <f>J17</f>
        <v>114.69999999999999</v>
      </c>
      <c r="CG17" s="104">
        <f>CD17/CF17</f>
        <v>0.80863121185701836</v>
      </c>
      <c r="CH17" s="53">
        <f>Seilareal/Lwl/Lwl</f>
        <v>0.73998806470863365</v>
      </c>
      <c r="CI17" s="119">
        <f>Seilareal/Depl^0.667/K$7</f>
        <v>0.98841981332029394</v>
      </c>
      <c r="CJ17" s="53">
        <f>Seilareal/Lwl/Lwl/SApRS1</f>
        <v>1.1227981511385945</v>
      </c>
      <c r="CK17" s="209"/>
      <c r="CL17" s="209">
        <f>(ROUND(TBF/CL$6,3)*CL$6)*CL$4</f>
        <v>88.5</v>
      </c>
      <c r="CM17" s="110">
        <f t="shared" si="234"/>
        <v>0.88639614615999152</v>
      </c>
      <c r="CN17" s="64">
        <f>IF(SeilBeregnet=0,"-",(SeilBeregnet)^(1/2)*StHfaktor/(Depl+DeplTillegg/1000+Vann/1000+Diesel/1000*0.84)^(1/3))</f>
        <v>2.9255079538612487</v>
      </c>
      <c r="CO17" s="64">
        <f t="shared" si="203"/>
        <v>1.6423667133294657</v>
      </c>
      <c r="CP17" s="64">
        <f t="shared" si="204"/>
        <v>1.878418417945126</v>
      </c>
      <c r="CQ17" s="110">
        <f t="shared" si="205"/>
        <v>0.99602959901609622</v>
      </c>
      <c r="CR17" s="172" t="str">
        <f t="shared" si="235"/>
        <v>-</v>
      </c>
      <c r="CS17" s="162"/>
      <c r="CT17" s="172" t="str">
        <f t="shared" si="236"/>
        <v>-</v>
      </c>
      <c r="CU17" s="164"/>
      <c r="CV17" s="195" t="s">
        <v>145</v>
      </c>
      <c r="CW17" s="64">
        <v>0.86</v>
      </c>
      <c r="CX17" s="64">
        <v>0.86</v>
      </c>
      <c r="CY17" s="64">
        <v>0.86</v>
      </c>
      <c r="CZ17" s="154">
        <v>0.89</v>
      </c>
      <c r="DA17" s="64">
        <f t="shared" si="210"/>
        <v>2.1595647629415629</v>
      </c>
      <c r="DB17" s="49">
        <f t="shared" si="206"/>
        <v>13.594344752582927</v>
      </c>
      <c r="DC17" s="50">
        <f t="shared" si="207"/>
        <v>0</v>
      </c>
      <c r="DE17" s="110">
        <f>IF(SeilBeregnet=0,"-",DE$7*(DG:DG+DE$6)*DL:DL*PropF+ErfaringsF+Dyp_F)</f>
        <v>0.88298456550358773</v>
      </c>
      <c r="DF17" s="144" t="str">
        <f t="shared" si="257"/>
        <v>-</v>
      </c>
      <c r="DG17" s="110">
        <f t="shared" si="208"/>
        <v>4.6541395447949512</v>
      </c>
      <c r="DH17" s="136">
        <f t="shared" si="276"/>
        <v>2.9587062883305433</v>
      </c>
      <c r="DI17" s="136">
        <f t="shared" si="277"/>
        <v>0</v>
      </c>
      <c r="DJ17" s="136">
        <f t="shared" si="278"/>
        <v>0</v>
      </c>
      <c r="DK17" s="136">
        <f t="shared" si="279"/>
        <v>1.6954332564644077</v>
      </c>
      <c r="DL17" s="110">
        <f t="shared" si="280"/>
        <v>1.878418417945126</v>
      </c>
      <c r="DM17" s="136">
        <f t="shared" si="281"/>
        <v>2.0979533957417229</v>
      </c>
      <c r="DO17" s="110">
        <f t="shared" si="258"/>
        <v>0.91381045995875421</v>
      </c>
      <c r="DP17" s="110">
        <f t="shared" si="211"/>
        <v>0.9053814180206512</v>
      </c>
      <c r="DR17" s="110">
        <f t="shared" si="212"/>
        <v>0.89068711962830016</v>
      </c>
      <c r="DS17" s="125" t="str">
        <f t="shared" si="259"/>
        <v>-</v>
      </c>
      <c r="DT17" s="110">
        <f t="shared" si="213"/>
        <v>0.88039608516538737</v>
      </c>
      <c r="DU17" s="125" t="str">
        <f t="shared" si="260"/>
        <v>-</v>
      </c>
      <c r="DV17" s="110">
        <f t="shared" si="282"/>
        <v>2.9583920052652291</v>
      </c>
      <c r="DW17" s="110">
        <f t="shared" si="283"/>
        <v>2.317501078004538</v>
      </c>
      <c r="DX17" s="110">
        <f t="shared" si="284"/>
        <v>1.5240266665582514</v>
      </c>
      <c r="DZ17" s="110">
        <f t="shared" si="216"/>
        <v>0.87761882969617544</v>
      </c>
      <c r="EB17" s="110">
        <f t="shared" si="285"/>
        <v>2.9583920052652291</v>
      </c>
      <c r="EC17" s="110">
        <f t="shared" si="286"/>
        <v>2.3176764073442899</v>
      </c>
      <c r="ED17" s="110">
        <f t="shared" si="287"/>
        <v>1.7537419443002733</v>
      </c>
      <c r="EE17" s="110">
        <f t="shared" si="218"/>
        <v>0.88019257057183453</v>
      </c>
      <c r="EG17" s="110">
        <f t="shared" si="288"/>
        <v>4.5086683061569479</v>
      </c>
      <c r="EH17" s="110">
        <f t="shared" si="289"/>
        <v>2.9583920052652291</v>
      </c>
      <c r="EI17" s="110">
        <f t="shared" si="290"/>
        <v>1.5240266665582514</v>
      </c>
      <c r="EJ17" s="110">
        <f t="shared" si="291"/>
        <v>1.878418417945126</v>
      </c>
      <c r="EK17" s="110">
        <f>IF(SeilBeregnet=0,"-",EK$7*(EK$4*EM:EM+EK$6)*EP:EP*PropF+ErfaringsF+Dyp_F)</f>
        <v>0.88226983718296581</v>
      </c>
      <c r="EM17" s="110">
        <f>IF(SeilBeregnet=0,EM16,(EN:EN*EO:EO)^EM$3)</f>
        <v>1.697286812401694</v>
      </c>
      <c r="EN17" s="110">
        <f t="shared" si="292"/>
        <v>2.9583920052652291</v>
      </c>
      <c r="EO17" s="110">
        <f t="shared" si="293"/>
        <v>0.97376632928482798</v>
      </c>
      <c r="EP17" s="110">
        <f t="shared" si="294"/>
        <v>1.8979153645159141</v>
      </c>
      <c r="EQ17" s="110">
        <f>IF(SeilBeregnet=0,"-",EQ$7*(ES:ES+EQ$6)*EV:EV*PropF+ErfaringsF+Dyp_F)</f>
        <v>0.88152190476456738</v>
      </c>
      <c r="ES17" s="110">
        <f>(ET:ET*EU:EU)^ES$3</f>
        <v>1.6973769651493362</v>
      </c>
      <c r="ET17" s="110">
        <f t="shared" si="295"/>
        <v>2.9587062883305433</v>
      </c>
      <c r="EU17" s="110">
        <f t="shared" si="296"/>
        <v>0.97376632928482798</v>
      </c>
      <c r="EV17" s="110">
        <f t="shared" si="297"/>
        <v>1.8979153645159141</v>
      </c>
      <c r="EW17" s="110">
        <f>IF(SeilBeregnet=0,"-",EW$7*(EY:EY+EW$6)*FB:FB*PropF+ErfaringsF+Dyp_F)</f>
        <v>0.87702539565272719</v>
      </c>
      <c r="EX17" s="144" t="str">
        <f t="shared" si="261"/>
        <v>-</v>
      </c>
      <c r="EY17" s="110">
        <f>(EZ:EZ*FA:FA)^EY$3</f>
        <v>2.8055070331875478</v>
      </c>
      <c r="EZ17" s="136">
        <f t="shared" si="298"/>
        <v>2.9587062883305433</v>
      </c>
      <c r="FA17" s="136">
        <f t="shared" si="299"/>
        <v>0.94822086404884798</v>
      </c>
      <c r="FB17" s="110">
        <f t="shared" si="300"/>
        <v>1.0672762411810035</v>
      </c>
      <c r="FC17" s="110">
        <f>IF(SeilBeregnet=0,"-",FC$7*(FE:FE+FC$6)*FI:FI*PropF+ErfaringsF+Dyp_F)</f>
        <v>0.88860097727570952</v>
      </c>
      <c r="FD17" s="144" t="str">
        <f t="shared" si="262"/>
        <v>-</v>
      </c>
      <c r="FE17" s="110">
        <f>(FF:FF+FG:FG+FH:FH)^FE$3+FE$7</f>
        <v>4.9276881505884536</v>
      </c>
      <c r="FF17" s="136">
        <f t="shared" si="301"/>
        <v>2.9587062883305433</v>
      </c>
      <c r="FG17" s="136">
        <f t="shared" si="302"/>
        <v>0.77354860579350304</v>
      </c>
      <c r="FH17" s="136">
        <f t="shared" si="303"/>
        <v>1.6954332564644077</v>
      </c>
      <c r="FI17" s="110">
        <f t="shared" si="304"/>
        <v>1.878418417945126</v>
      </c>
      <c r="FJ17" s="110">
        <f>IF(SeilBeregnet=0,"-",FJ$7*(FL:FL+FJ$6)*FO:FO*PropF+ErfaringsF+Dyp_F)</f>
        <v>0.88069089624190511</v>
      </c>
      <c r="FK17" s="144" t="str">
        <f t="shared" si="263"/>
        <v>-</v>
      </c>
      <c r="FL17" s="110">
        <f>(FM:FM*FN:FN)^FL$3</f>
        <v>5.0162890373459739</v>
      </c>
      <c r="FM17" s="136">
        <f t="shared" si="305"/>
        <v>2.9587062883305433</v>
      </c>
      <c r="FN17" s="136">
        <f t="shared" si="306"/>
        <v>1.6954332564644077</v>
      </c>
      <c r="FO17" s="110">
        <f t="shared" si="307"/>
        <v>1.878418417945126</v>
      </c>
      <c r="FQ17">
        <v>0.95</v>
      </c>
      <c r="FR17" s="64">
        <f t="shared" si="264"/>
        <v>1.126902340049476</v>
      </c>
      <c r="FS17" s="479"/>
      <c r="FT17" s="18"/>
      <c r="FU17" s="481"/>
      <c r="FV17" s="504"/>
      <c r="FW17" s="18"/>
      <c r="FX17" s="18"/>
      <c r="FY17" s="18"/>
      <c r="FZ17" s="18"/>
      <c r="GB17" s="18"/>
      <c r="GC17" s="481"/>
      <c r="GD17" s="8"/>
      <c r="GE17" s="8"/>
      <c r="GF17" s="8"/>
      <c r="GG17" s="8"/>
      <c r="GI17" s="18"/>
      <c r="GJ17" s="18"/>
      <c r="GK17" s="18"/>
      <c r="GL17" s="18"/>
      <c r="GM17" s="18"/>
      <c r="GN17" s="18"/>
      <c r="GO17" s="18"/>
      <c r="GP17" s="18"/>
    </row>
    <row r="18" spans="1:198" ht="15.6" x14ac:dyDescent="0.3">
      <c r="A18" s="62" t="s">
        <v>161</v>
      </c>
      <c r="B18" s="223"/>
      <c r="C18" s="14" t="str">
        <f>C16</f>
        <v>Gaffel</v>
      </c>
      <c r="G18" s="56"/>
      <c r="H18" s="209">
        <f>TBFavrundet</f>
        <v>85.000000000000014</v>
      </c>
      <c r="I18" s="65">
        <f>COUNTA(O18:AD18)</f>
        <v>4</v>
      </c>
      <c r="J18" s="228">
        <f>SUM(O18:AD18)</f>
        <v>102.6</v>
      </c>
      <c r="K18" s="119">
        <f>Seilareal/Depl^0.667/K$7</f>
        <v>0.88414884783489234</v>
      </c>
      <c r="L18" s="119">
        <f>Seilareal/Lwl/Lwl/L$7</f>
        <v>1.0043512668423697</v>
      </c>
      <c r="M18" s="95">
        <f>RiggF</f>
        <v>0.79805068226120868</v>
      </c>
      <c r="N18" s="265">
        <f>StHfaktor</f>
        <v>0.99602959901609622</v>
      </c>
      <c r="O18" s="147"/>
      <c r="P18" s="147"/>
      <c r="Q18" s="147"/>
      <c r="R18" s="88">
        <f>R15</f>
        <v>17.8</v>
      </c>
      <c r="S18" s="147"/>
      <c r="T18" s="88">
        <f t="shared" ref="T18:U18" si="315">T17</f>
        <v>21.9</v>
      </c>
      <c r="U18" s="88">
        <f t="shared" si="315"/>
        <v>48.9</v>
      </c>
      <c r="V18" s="148"/>
      <c r="W18" s="148"/>
      <c r="X18" s="88">
        <f t="shared" ref="X18" si="316">X17</f>
        <v>14</v>
      </c>
      <c r="Y18" s="147"/>
      <c r="Z18" s="147"/>
      <c r="AA18" s="147"/>
      <c r="AB18" s="147"/>
      <c r="AC18" s="147"/>
      <c r="AD18" s="147"/>
      <c r="AE18" s="260">
        <f t="shared" ref="AE18" si="317">AE17</f>
        <v>12.06</v>
      </c>
      <c r="AF18" s="375" t="str">
        <f t="shared" ref="AF18:AH18" si="318" xml:space="preserve"> AF17</f>
        <v>Clipper</v>
      </c>
      <c r="AG18" s="377"/>
      <c r="AH18" s="375">
        <f t="shared" si="318"/>
        <v>0</v>
      </c>
      <c r="AI18" s="377"/>
      <c r="AJ18" s="295" t="str">
        <f t="shared" ref="AJ18" si="319" xml:space="preserve"> AJ17</f>
        <v>RS</v>
      </c>
      <c r="AK18" s="47">
        <f>VLOOKUP(AJ18,Skrogform!$1:$1048576,3,FALSE)</f>
        <v>0.97</v>
      </c>
      <c r="AL18" s="66">
        <f t="shared" si="271"/>
        <v>14.2</v>
      </c>
      <c r="AM18" s="66">
        <f t="shared" si="271"/>
        <v>12.45</v>
      </c>
      <c r="AN18" s="66">
        <f t="shared" si="271"/>
        <v>4.9400000000000004</v>
      </c>
      <c r="AO18" s="66">
        <f t="shared" si="271"/>
        <v>2.5</v>
      </c>
      <c r="AP18" s="66">
        <f t="shared" si="271"/>
        <v>34.5</v>
      </c>
      <c r="AQ18" s="66">
        <f t="shared" si="271"/>
        <v>5</v>
      </c>
      <c r="AR18" s="66">
        <f t="shared" si="271"/>
        <v>7</v>
      </c>
      <c r="AS18" s="284">
        <f t="shared" ref="AS18:AT18" si="320">AS17</f>
        <v>135</v>
      </c>
      <c r="AT18" s="284">
        <f t="shared" si="320"/>
        <v>1300</v>
      </c>
      <c r="AU18" s="284">
        <f t="shared" ref="AU18:AV18" si="321">AU17</f>
        <v>300</v>
      </c>
      <c r="AV18" s="284">
        <f t="shared" si="321"/>
        <v>300</v>
      </c>
      <c r="AW18" s="284"/>
      <c r="AX18" s="284">
        <f>AX17</f>
        <v>100</v>
      </c>
      <c r="AY18" s="68"/>
      <c r="AZ18" s="68"/>
      <c r="BA18" s="289"/>
      <c r="BB18" s="68"/>
      <c r="BC18" s="179"/>
      <c r="BD18" s="68"/>
      <c r="BE18" s="68"/>
      <c r="BF18" s="67" t="str">
        <f t="shared" si="273"/>
        <v>Seilrett</v>
      </c>
      <c r="BG18" s="295">
        <f t="shared" si="273"/>
        <v>3</v>
      </c>
      <c r="BH18" s="295">
        <f t="shared" si="273"/>
        <v>85</v>
      </c>
      <c r="BI18" s="47">
        <f t="shared" si="200"/>
        <v>1</v>
      </c>
      <c r="BJ18" s="61"/>
      <c r="BK18" s="61"/>
      <c r="BM18" s="51">
        <f t="shared" si="274"/>
        <v>0</v>
      </c>
      <c r="BN18" s="51">
        <f t="shared" si="274"/>
        <v>0</v>
      </c>
      <c r="BO18" s="51">
        <f t="shared" si="274"/>
        <v>0</v>
      </c>
      <c r="BP18" s="51">
        <f t="shared" si="274"/>
        <v>17.8</v>
      </c>
      <c r="BQ18" s="51">
        <f t="shared" si="274"/>
        <v>0</v>
      </c>
      <c r="BR18" s="51">
        <f t="shared" si="274"/>
        <v>21.9</v>
      </c>
      <c r="BS18" s="52">
        <f>IF(COUNT(P18:T18)&gt;1,MINA(P18:T18)*BS$9,0)</f>
        <v>-5.34</v>
      </c>
      <c r="BT18" s="88">
        <f t="shared" si="275"/>
        <v>39.120000000000005</v>
      </c>
      <c r="BU18" s="88">
        <f t="shared" si="275"/>
        <v>0</v>
      </c>
      <c r="BV18" s="88">
        <f t="shared" si="275"/>
        <v>0</v>
      </c>
      <c r="BW18" s="88">
        <f t="shared" si="275"/>
        <v>8.4</v>
      </c>
      <c r="BX18" s="88">
        <f t="shared" si="275"/>
        <v>0</v>
      </c>
      <c r="BY18" s="88">
        <f t="shared" si="275"/>
        <v>0</v>
      </c>
      <c r="BZ18" s="88">
        <f t="shared" si="275"/>
        <v>0</v>
      </c>
      <c r="CA18" s="88">
        <f t="shared" si="275"/>
        <v>0</v>
      </c>
      <c r="CB18" s="88">
        <f t="shared" si="275"/>
        <v>0</v>
      </c>
      <c r="CC18" s="88">
        <f t="shared" si="275"/>
        <v>0</v>
      </c>
      <c r="CD18" s="103">
        <f>SUM(BM18:CC18)</f>
        <v>81.88000000000001</v>
      </c>
      <c r="CE18" s="52"/>
      <c r="CF18" s="107">
        <f>J18</f>
        <v>102.6</v>
      </c>
      <c r="CG18" s="104">
        <f>CD18/CF18</f>
        <v>0.79805068226120868</v>
      </c>
      <c r="CH18" s="53">
        <f>Seilareal/Lwl/Lwl</f>
        <v>0.66192480766439254</v>
      </c>
      <c r="CI18" s="119">
        <f>Seilareal/Depl^0.667/K$7</f>
        <v>0.88414884783489234</v>
      </c>
      <c r="CJ18" s="53">
        <f>Seilareal/Lwl/Lwl/SApRS1</f>
        <v>1.0043512668423697</v>
      </c>
      <c r="CK18" s="209"/>
      <c r="CL18" s="209">
        <f>(ROUND(TBF/CL$6,3)*CL$6)*CL$4</f>
        <v>85.000000000000014</v>
      </c>
      <c r="CM18" s="110">
        <f t="shared" si="234"/>
        <v>0.85209380464248097</v>
      </c>
      <c r="CN18" s="64">
        <f>IF(SeilBeregnet=0,"-",(SeilBeregnet)^(1/2)*StHfaktor/(Depl+DeplTillegg/1000+Vann/1000+Diesel/1000*0.84)^(1/3))</f>
        <v>2.7487373332736471</v>
      </c>
      <c r="CO18" s="64">
        <f t="shared" si="203"/>
        <v>1.6423667133294657</v>
      </c>
      <c r="CP18" s="64">
        <f t="shared" si="204"/>
        <v>1.878418417945126</v>
      </c>
      <c r="CQ18" s="110">
        <f t="shared" si="205"/>
        <v>0.99602959901609622</v>
      </c>
      <c r="CR18" s="172" t="str">
        <f t="shared" si="235"/>
        <v>-</v>
      </c>
      <c r="CS18" s="162"/>
      <c r="CT18" s="172" t="str">
        <f t="shared" si="236"/>
        <v>-</v>
      </c>
      <c r="CU18" s="164"/>
      <c r="CV18" s="195" t="s">
        <v>145</v>
      </c>
      <c r="CW18" s="64">
        <v>0.82</v>
      </c>
      <c r="CX18" s="64">
        <v>0.83</v>
      </c>
      <c r="CY18" s="64">
        <v>0.82</v>
      </c>
      <c r="CZ18" s="154">
        <v>0.86</v>
      </c>
      <c r="DA18" s="64">
        <f t="shared" si="210"/>
        <v>2.1595647629415629</v>
      </c>
      <c r="DB18" s="49">
        <f t="shared" si="206"/>
        <v>13.594344752582927</v>
      </c>
      <c r="DC18" s="50">
        <f t="shared" si="207"/>
        <v>0</v>
      </c>
      <c r="DE18" s="110">
        <f>IF(SeilBeregnet=0,"-",DE$7*(DG:DG+DE$6)*DL:DL*PropF+ErfaringsF+Dyp_F)</f>
        <v>0.84906702363399156</v>
      </c>
      <c r="DF18" s="144" t="str">
        <f t="shared" si="257"/>
        <v>-</v>
      </c>
      <c r="DG18" s="110">
        <f t="shared" si="208"/>
        <v>4.4753629511321886</v>
      </c>
      <c r="DH18" s="136">
        <f t="shared" si="276"/>
        <v>2.7799296946677812</v>
      </c>
      <c r="DI18" s="136">
        <f t="shared" si="277"/>
        <v>0</v>
      </c>
      <c r="DJ18" s="136">
        <f t="shared" si="278"/>
        <v>0</v>
      </c>
      <c r="DK18" s="136">
        <f t="shared" si="279"/>
        <v>1.6954332564644077</v>
      </c>
      <c r="DL18" s="110">
        <f t="shared" si="280"/>
        <v>1.878418417945126</v>
      </c>
      <c r="DM18" s="136">
        <f t="shared" si="281"/>
        <v>2.0979533957417229</v>
      </c>
      <c r="DO18" s="110">
        <f t="shared" si="258"/>
        <v>0.87844722128090824</v>
      </c>
      <c r="DP18" s="110">
        <f t="shared" si="211"/>
        <v>0.86259707764947768</v>
      </c>
      <c r="DR18" s="110">
        <f t="shared" si="212"/>
        <v>0.8571663548279882</v>
      </c>
      <c r="DS18" s="125" t="str">
        <f t="shared" si="259"/>
        <v>-</v>
      </c>
      <c r="DT18" s="110">
        <f t="shared" si="213"/>
        <v>0.84083077654639171</v>
      </c>
      <c r="DU18" s="125" t="str">
        <f t="shared" si="260"/>
        <v>-</v>
      </c>
      <c r="DV18" s="110">
        <f t="shared" si="282"/>
        <v>2.7796344018131833</v>
      </c>
      <c r="DW18" s="110">
        <f t="shared" si="283"/>
        <v>2.317501078004538</v>
      </c>
      <c r="DX18" s="110">
        <f t="shared" si="284"/>
        <v>1.5240266665582514</v>
      </c>
      <c r="DZ18" s="110">
        <f t="shared" si="216"/>
        <v>0.84224183573804323</v>
      </c>
      <c r="EB18" s="110">
        <f t="shared" si="285"/>
        <v>2.7796344018131833</v>
      </c>
      <c r="EC18" s="110">
        <f t="shared" si="286"/>
        <v>2.3176764073442899</v>
      </c>
      <c r="ED18" s="110">
        <f t="shared" si="287"/>
        <v>1.7537419443002733</v>
      </c>
      <c r="EE18" s="110">
        <f t="shared" si="218"/>
        <v>0.8433506172025812</v>
      </c>
      <c r="EG18" s="110">
        <f t="shared" si="288"/>
        <v>4.236236951645985</v>
      </c>
      <c r="EH18" s="110">
        <f t="shared" si="289"/>
        <v>2.7796344018131833</v>
      </c>
      <c r="EI18" s="110">
        <f t="shared" si="290"/>
        <v>1.5240266665582514</v>
      </c>
      <c r="EJ18" s="110">
        <f t="shared" si="291"/>
        <v>1.878418417945126</v>
      </c>
      <c r="EK18" s="110">
        <f>IF(SeilBeregnet=0,"-",EK$7*(EK$4*EM:EM+EK$6)*EP:EP*PropF+ErfaringsF+Dyp_F)</f>
        <v>0.84389455608175978</v>
      </c>
      <c r="EM18" s="110">
        <f>IF(SeilBeregnet=0,EM17,(EN:EN*EO:EO)^EM$3)</f>
        <v>1.6452095271446285</v>
      </c>
      <c r="EN18" s="110">
        <f t="shared" si="292"/>
        <v>2.7796344018131833</v>
      </c>
      <c r="EO18" s="110">
        <f t="shared" si="293"/>
        <v>0.97376632928482798</v>
      </c>
      <c r="EP18" s="110">
        <f t="shared" si="294"/>
        <v>1.8979153645159141</v>
      </c>
      <c r="EQ18" s="110">
        <f>IF(SeilBeregnet=0,"-",EQ$7*(ES:ES+EQ$6)*EV:EV*PropF+ErfaringsF+Dyp_F)</f>
        <v>0.8544744621288608</v>
      </c>
      <c r="ES18" s="110">
        <f>(ET:ET*EU:EU)^ES$3</f>
        <v>1.6452969137655786</v>
      </c>
      <c r="ET18" s="110">
        <f t="shared" si="295"/>
        <v>2.7799296946677812</v>
      </c>
      <c r="EU18" s="110">
        <f t="shared" si="296"/>
        <v>0.97376632928482798</v>
      </c>
      <c r="EV18" s="110">
        <f t="shared" si="297"/>
        <v>1.8979153645159141</v>
      </c>
      <c r="EW18" s="110">
        <f>IF(SeilBeregnet=0,"-",EW$7*(EY:EY+EW$6)*FB:FB*PropF+ErfaringsF+Dyp_F)</f>
        <v>0.84608733281584214</v>
      </c>
      <c r="EX18" s="144" t="str">
        <f t="shared" si="261"/>
        <v>-</v>
      </c>
      <c r="EY18" s="110">
        <f>(EZ:EZ*FA:FA)^EY$3</f>
        <v>2.6359873370729336</v>
      </c>
      <c r="EZ18" s="136">
        <f t="shared" si="298"/>
        <v>2.7799296946677812</v>
      </c>
      <c r="FA18" s="136">
        <f t="shared" si="299"/>
        <v>0.94822086404884798</v>
      </c>
      <c r="FB18" s="110">
        <f t="shared" si="300"/>
        <v>1.0672762411810035</v>
      </c>
      <c r="FC18" s="110">
        <f>IF(SeilBeregnet=0,"-",FC$7*(FE:FE+FC$6)*FI:FI*PropF+ErfaringsF+Dyp_F)</f>
        <v>0.84793383356155072</v>
      </c>
      <c r="FD18" s="144" t="str">
        <f t="shared" si="262"/>
        <v>-</v>
      </c>
      <c r="FE18" s="110">
        <f>(FF:FF+FG:FG+FH:FH)^FE$3+FE$7</f>
        <v>4.7021707278945097</v>
      </c>
      <c r="FF18" s="136">
        <f t="shared" si="301"/>
        <v>2.7799296946677812</v>
      </c>
      <c r="FG18" s="136">
        <f t="shared" si="302"/>
        <v>0.726807776762321</v>
      </c>
      <c r="FH18" s="136">
        <f t="shared" si="303"/>
        <v>1.6954332564644077</v>
      </c>
      <c r="FI18" s="110">
        <f t="shared" si="304"/>
        <v>1.878418417945126</v>
      </c>
      <c r="FJ18" s="110">
        <f>IF(SeilBeregnet=0,"-",FJ$7*(FL:FL+FJ$6)*FO:FO*PropF+ErfaringsF+Dyp_F)</f>
        <v>0.85108439841924854</v>
      </c>
      <c r="FK18" s="144" t="str">
        <f t="shared" si="263"/>
        <v>-</v>
      </c>
      <c r="FL18" s="110">
        <f>(FM:FM*FN:FN)^FL$3</f>
        <v>4.7131852549727027</v>
      </c>
      <c r="FM18" s="136">
        <f t="shared" si="305"/>
        <v>2.7799296946677812</v>
      </c>
      <c r="FN18" s="136">
        <f t="shared" si="306"/>
        <v>1.6954332564644077</v>
      </c>
      <c r="FO18" s="110">
        <f t="shared" si="307"/>
        <v>1.878418417945126</v>
      </c>
      <c r="FQ18">
        <v>0.95</v>
      </c>
      <c r="FR18" s="64">
        <f t="shared" si="264"/>
        <v>1.0970670868522228</v>
      </c>
      <c r="FS18" s="479"/>
      <c r="FT18" s="18"/>
      <c r="FU18" s="481"/>
      <c r="FV18" s="504"/>
      <c r="FW18" s="18"/>
      <c r="FX18" s="18"/>
      <c r="FY18" s="18"/>
      <c r="FZ18" s="18"/>
      <c r="GB18" s="18"/>
      <c r="GC18" s="481"/>
      <c r="GD18" s="8"/>
      <c r="GE18" s="8"/>
      <c r="GF18" s="8"/>
      <c r="GG18" s="8"/>
      <c r="GI18" s="18"/>
      <c r="GJ18" s="18"/>
      <c r="GK18" s="18"/>
      <c r="GL18" s="18"/>
      <c r="GM18" s="18"/>
      <c r="GN18" s="18"/>
      <c r="GO18" s="18"/>
      <c r="GP18" s="18"/>
    </row>
    <row r="19" spans="1:198" ht="15.6" x14ac:dyDescent="0.3">
      <c r="A19" s="54" t="s">
        <v>92</v>
      </c>
      <c r="B19" s="223">
        <f t="shared" ref="B19" si="322">Loa/0.3048</f>
        <v>47.342519685039363</v>
      </c>
      <c r="C19" s="55" t="s">
        <v>22</v>
      </c>
      <c r="D19" s="55"/>
      <c r="E19" s="55"/>
      <c r="F19" s="55"/>
      <c r="G19" s="56" t="s">
        <v>23</v>
      </c>
      <c r="H19" s="209"/>
      <c r="I19" s="126" t="str">
        <f>A19</f>
        <v>RS kopi FAYANCE</v>
      </c>
      <c r="J19" s="229"/>
      <c r="K19" s="119"/>
      <c r="L19" s="119"/>
      <c r="M19" s="95"/>
      <c r="N19" s="265"/>
      <c r="O19" s="169"/>
      <c r="P19" s="169"/>
      <c r="Q19" s="169">
        <v>25.4</v>
      </c>
      <c r="R19" s="169">
        <v>18</v>
      </c>
      <c r="S19" s="169"/>
      <c r="T19" s="169">
        <v>24</v>
      </c>
      <c r="U19" s="169">
        <v>48.3</v>
      </c>
      <c r="V19" s="169"/>
      <c r="W19" s="169"/>
      <c r="X19" s="169">
        <v>14</v>
      </c>
      <c r="Y19" s="169">
        <v>13</v>
      </c>
      <c r="Z19" s="169"/>
      <c r="AA19" s="169"/>
      <c r="AB19" s="169"/>
      <c r="AC19" s="169"/>
      <c r="AD19" s="169"/>
      <c r="AE19" s="270">
        <v>11.71</v>
      </c>
      <c r="AF19" s="296" t="s">
        <v>706</v>
      </c>
      <c r="AG19" s="377"/>
      <c r="AH19" s="296"/>
      <c r="AI19" s="377"/>
      <c r="AJ19" s="296" t="s">
        <v>261</v>
      </c>
      <c r="AK19" s="47">
        <f>VLOOKUP(AJ19,Skrogform!$1:$1048576,3,FALSE)</f>
        <v>0.97</v>
      </c>
      <c r="AL19" s="57">
        <v>14.43</v>
      </c>
      <c r="AM19" s="57">
        <v>12.65</v>
      </c>
      <c r="AN19" s="57">
        <v>4.7300000000000004</v>
      </c>
      <c r="AO19" s="57">
        <v>2.5</v>
      </c>
      <c r="AP19" s="57">
        <v>33.5</v>
      </c>
      <c r="AQ19" s="57">
        <v>10</v>
      </c>
      <c r="AR19" s="57">
        <v>2.2000000000000002</v>
      </c>
      <c r="AS19" s="281">
        <v>100</v>
      </c>
      <c r="AT19" s="281">
        <v>500</v>
      </c>
      <c r="AU19" s="281">
        <f>ROUND(Depl*10,-2)</f>
        <v>300</v>
      </c>
      <c r="AV19" s="281">
        <v>600</v>
      </c>
      <c r="AW19" s="270">
        <f>Depl+Diesel/1000+Vann/1000</f>
        <v>34.4</v>
      </c>
      <c r="AX19" s="281">
        <v>1200</v>
      </c>
      <c r="AY19" s="98">
        <f>Bredde/(Loa+Lwl)*2</f>
        <v>0.34933530280649933</v>
      </c>
      <c r="AZ19" s="98">
        <f>(Kjøl+Ballast)/Depl</f>
        <v>0.36417910447761193</v>
      </c>
      <c r="BA19" s="288">
        <f>BA$7*((Depl-Kjøl-Ballast-VektMotor/1000-VektAnnet/1000)/Loa/Lwl/Bredde)</f>
        <v>0.98220962863623784</v>
      </c>
      <c r="BB19" s="98">
        <f>BB$7*(Depl/Loa/Lwl/Lwl)</f>
        <v>1.0893955184333994</v>
      </c>
      <c r="BC19" s="178">
        <f>BC$7*(Depl/Loa/Lwl/Bredde)</f>
        <v>1.0769295180283589</v>
      </c>
      <c r="BD19" s="98">
        <f>BD$7*Bredde/(Loa+Lwl)*2</f>
        <v>0.99654468639316407</v>
      </c>
      <c r="BE19" s="98">
        <f>BE$7*(Dypg/Lwl)</f>
        <v>1.0809417425674515</v>
      </c>
      <c r="BF19" s="58" t="s">
        <v>24</v>
      </c>
      <c r="BG19" s="296">
        <v>3</v>
      </c>
      <c r="BH19" s="296">
        <v>70</v>
      </c>
      <c r="BI19" s="47">
        <f t="shared" si="200"/>
        <v>1</v>
      </c>
      <c r="BJ19" s="61"/>
      <c r="BK19" s="61"/>
      <c r="BM19" s="214"/>
      <c r="BN19" s="214" t="str">
        <f>$A19</f>
        <v>RS kopi FAYANCE</v>
      </c>
      <c r="BO19" s="10"/>
      <c r="BP19" s="10"/>
      <c r="BQ19" s="10"/>
      <c r="BR19" s="10"/>
      <c r="BS19" s="52"/>
      <c r="BT19" s="214" t="str">
        <f>$A19</f>
        <v>RS kopi FAYANCE</v>
      </c>
      <c r="BU19" s="10"/>
      <c r="BV19" s="10"/>
      <c r="BW19" s="10"/>
      <c r="BX19" s="10"/>
      <c r="BY19" s="10"/>
      <c r="BZ19" s="10"/>
      <c r="CA19" s="10"/>
      <c r="CB19" s="10"/>
      <c r="CC19" s="10"/>
      <c r="CD19" s="214"/>
      <c r="CE19" s="10"/>
      <c r="CF19" s="214" t="str">
        <f>$A19</f>
        <v>RS kopi FAYANCE</v>
      </c>
      <c r="CG19" s="212"/>
      <c r="CH19" s="212"/>
      <c r="CI19" s="119"/>
      <c r="CJ19" s="212"/>
      <c r="CK19" s="208"/>
      <c r="CL19" s="208" t="s">
        <v>26</v>
      </c>
      <c r="CM19" s="110" t="str">
        <f t="shared" si="234"/>
        <v>-</v>
      </c>
      <c r="CN19" s="64" t="str">
        <f>IF(SeilBeregnet=0,"-",(SeilBeregnet)^(1/2)*StHfaktor/(Depl+DeplTillegg/1000+Vann/1000+Diesel/1000*0.84)^(1/3))</f>
        <v>-</v>
      </c>
      <c r="CO19" s="64" t="str">
        <f t="shared" si="203"/>
        <v>-</v>
      </c>
      <c r="CP19" s="64" t="str">
        <f t="shared" si="204"/>
        <v>-</v>
      </c>
      <c r="CQ19" s="110" t="str">
        <f t="shared" si="205"/>
        <v>-</v>
      </c>
      <c r="CR19" s="172">
        <f t="shared" si="235"/>
        <v>0.93176470588235305</v>
      </c>
      <c r="CS19" s="162">
        <v>0.9</v>
      </c>
      <c r="CT19" s="172" t="str">
        <f t="shared" si="236"/>
        <v>-</v>
      </c>
      <c r="CU19" s="164">
        <v>1.2</v>
      </c>
      <c r="CV19" s="195" t="s">
        <v>145</v>
      </c>
      <c r="CW19" s="30" t="s">
        <v>26</v>
      </c>
      <c r="CX19" s="30" t="s">
        <v>26</v>
      </c>
      <c r="CY19" s="30" t="s">
        <v>26</v>
      </c>
      <c r="CZ19" s="153">
        <v>2022</v>
      </c>
      <c r="DA19" s="64" t="str">
        <f t="shared" si="210"/>
        <v>-</v>
      </c>
      <c r="DB19" s="49">
        <f t="shared" si="206"/>
        <v>13.601741022850922</v>
      </c>
      <c r="DC19" s="50">
        <f t="shared" si="207"/>
        <v>0</v>
      </c>
      <c r="DE19" s="110" t="str">
        <f>IF(SeilBeregnet=0,"-",DE$7*(DG:DG+DE$6)*DL:DL*PropF+ErfaringsF+Dyp_F)</f>
        <v>-</v>
      </c>
      <c r="DF19" s="144" t="str">
        <f t="shared" si="257"/>
        <v>-</v>
      </c>
      <c r="DG19" s="110">
        <f t="shared" si="208"/>
        <v>4.4753629511321886</v>
      </c>
      <c r="DH19" s="136">
        <f t="shared" si="276"/>
        <v>2.7799296946677812</v>
      </c>
      <c r="DI19" s="136">
        <f t="shared" si="277"/>
        <v>0</v>
      </c>
      <c r="DJ19" s="136">
        <f t="shared" si="278"/>
        <v>0</v>
      </c>
      <c r="DK19" s="136">
        <f t="shared" si="279"/>
        <v>1.6954332564644077</v>
      </c>
      <c r="DL19" s="110">
        <f t="shared" si="280"/>
        <v>1.878418417945126</v>
      </c>
      <c r="DM19" s="136">
        <f t="shared" si="281"/>
        <v>2.0979533957417229</v>
      </c>
      <c r="DO19" s="110" t="str">
        <f t="shared" si="258"/>
        <v>-</v>
      </c>
      <c r="DP19" s="110" t="str">
        <f t="shared" si="211"/>
        <v>-</v>
      </c>
      <c r="DR19" s="110" t="str">
        <f t="shared" si="212"/>
        <v>-</v>
      </c>
      <c r="DS19" s="125" t="str">
        <f t="shared" si="259"/>
        <v>-</v>
      </c>
      <c r="DT19" s="110" t="str">
        <f t="shared" si="213"/>
        <v>-</v>
      </c>
      <c r="DU19" s="125" t="str">
        <f t="shared" si="260"/>
        <v>-</v>
      </c>
      <c r="DV19" s="110">
        <f t="shared" si="282"/>
        <v>2.7796344018131833</v>
      </c>
      <c r="DW19" s="110">
        <f t="shared" si="283"/>
        <v>2.317501078004538</v>
      </c>
      <c r="DX19" s="110">
        <f t="shared" si="284"/>
        <v>1.5240266665582514</v>
      </c>
      <c r="DZ19" s="110" t="str">
        <f t="shared" si="216"/>
        <v>-</v>
      </c>
      <c r="EB19" s="110">
        <f t="shared" si="285"/>
        <v>2.7796344018131833</v>
      </c>
      <c r="EC19" s="110">
        <f t="shared" si="286"/>
        <v>2.3176764073442899</v>
      </c>
      <c r="ED19" s="110">
        <f t="shared" si="287"/>
        <v>1.7537419443002733</v>
      </c>
      <c r="EE19" s="110" t="str">
        <f t="shared" si="218"/>
        <v>-</v>
      </c>
      <c r="EG19" s="110">
        <f t="shared" si="288"/>
        <v>4.236236951645985</v>
      </c>
      <c r="EH19" s="110">
        <f t="shared" si="289"/>
        <v>2.7796344018131833</v>
      </c>
      <c r="EI19" s="110">
        <f t="shared" si="290"/>
        <v>1.5240266665582514</v>
      </c>
      <c r="EJ19" s="110">
        <f t="shared" si="291"/>
        <v>1.878418417945126</v>
      </c>
      <c r="EK19" s="110" t="str">
        <f>IF(SeilBeregnet=0,"-",EK$7*(EK$4*EM:EM+EK$6)*EP:EP*PropF+ErfaringsF+Dyp_F)</f>
        <v>-</v>
      </c>
      <c r="EM19" s="110">
        <f>IF(SeilBeregnet=0,EM18,(EN:EN*EO:EO)^EM$3)</f>
        <v>1.6452095271446285</v>
      </c>
      <c r="EN19" s="110">
        <f t="shared" si="292"/>
        <v>2.7796344018131833</v>
      </c>
      <c r="EO19" s="110">
        <f t="shared" si="293"/>
        <v>0.97376632928482798</v>
      </c>
      <c r="EP19" s="110">
        <f t="shared" si="294"/>
        <v>1.8979153645159141</v>
      </c>
      <c r="EQ19" s="110" t="str">
        <f>IF(SeilBeregnet=0,"-",EQ$7*(ES:ES+EQ$6)*EV:EV*PropF+ErfaringsF+Dyp_F)</f>
        <v>-</v>
      </c>
      <c r="ES19" s="110">
        <f>(ET:ET*EU:EU)^ES$3</f>
        <v>1.6452969137655786</v>
      </c>
      <c r="ET19" s="110">
        <f t="shared" si="295"/>
        <v>2.7799296946677812</v>
      </c>
      <c r="EU19" s="110">
        <f t="shared" si="296"/>
        <v>0.97376632928482798</v>
      </c>
      <c r="EV19" s="110">
        <f t="shared" si="297"/>
        <v>1.8979153645159141</v>
      </c>
      <c r="EW19" s="110" t="str">
        <f>IF(SeilBeregnet=0,"-",EW$7*(EY:EY+EW$6)*FB:FB*PropF+ErfaringsF+Dyp_F)</f>
        <v>-</v>
      </c>
      <c r="EX19" s="144" t="str">
        <f t="shared" si="261"/>
        <v>-</v>
      </c>
      <c r="EY19" s="110">
        <f>(EZ:EZ*FA:FA)^EY$3</f>
        <v>2.6359873370729336</v>
      </c>
      <c r="EZ19" s="136">
        <f t="shared" si="298"/>
        <v>2.7799296946677812</v>
      </c>
      <c r="FA19" s="136">
        <f t="shared" si="299"/>
        <v>0.94822086404884798</v>
      </c>
      <c r="FB19" s="110">
        <f t="shared" si="300"/>
        <v>1.0672762411810035</v>
      </c>
      <c r="FC19" s="110" t="str">
        <f>IF(SeilBeregnet=0,"-",FC$7*(FE:FE+FC$6)*FI:FI*PropF+ErfaringsF+Dyp_F)</f>
        <v>-</v>
      </c>
      <c r="FD19" s="144" t="str">
        <f t="shared" si="262"/>
        <v>-</v>
      </c>
      <c r="FE19" s="110">
        <f>(FF:FF+FG:FG+FH:FH)^FE$3+FE$7</f>
        <v>4.7021707278945097</v>
      </c>
      <c r="FF19" s="136">
        <f t="shared" si="301"/>
        <v>2.7799296946677812</v>
      </c>
      <c r="FG19" s="136">
        <f t="shared" si="302"/>
        <v>0.726807776762321</v>
      </c>
      <c r="FH19" s="136">
        <f t="shared" si="303"/>
        <v>1.6954332564644077</v>
      </c>
      <c r="FI19" s="110">
        <f t="shared" si="304"/>
        <v>1.878418417945126</v>
      </c>
      <c r="FJ19" s="110" t="str">
        <f>IF(SeilBeregnet=0,"-",FJ$7*(FL:FL+FJ$6)*FO:FO*PropF+ErfaringsF+Dyp_F)</f>
        <v>-</v>
      </c>
      <c r="FK19" s="144" t="str">
        <f t="shared" si="263"/>
        <v>-</v>
      </c>
      <c r="FL19" s="110">
        <f>(FM:FM*FN:FN)^FL$3</f>
        <v>4.7131852549727027</v>
      </c>
      <c r="FM19" s="136">
        <f t="shared" si="305"/>
        <v>2.7799296946677812</v>
      </c>
      <c r="FN19" s="136">
        <f t="shared" si="306"/>
        <v>1.6954332564644077</v>
      </c>
      <c r="FO19" s="110">
        <f t="shared" si="307"/>
        <v>1.878418417945126</v>
      </c>
      <c r="FQ19">
        <v>0.95</v>
      </c>
      <c r="FR19" s="64" t="str">
        <f t="shared" si="264"/>
        <v>-</v>
      </c>
      <c r="FS19" s="480" t="s">
        <v>487</v>
      </c>
      <c r="FT19" s="59" t="s">
        <v>137</v>
      </c>
      <c r="FU19" s="475">
        <v>90778929</v>
      </c>
      <c r="FV19" s="506" t="s">
        <v>501</v>
      </c>
      <c r="FW19" s="59" t="s">
        <v>502</v>
      </c>
      <c r="FX19" s="59" t="s">
        <v>503</v>
      </c>
      <c r="FY19" s="59" t="s">
        <v>455</v>
      </c>
      <c r="FZ19" s="59" t="s">
        <v>504</v>
      </c>
      <c r="GB19" s="59" t="s">
        <v>767</v>
      </c>
      <c r="GC19" s="475" t="s">
        <v>522</v>
      </c>
      <c r="GD19" s="60" t="s">
        <v>522</v>
      </c>
      <c r="GE19" s="60" t="s">
        <v>522</v>
      </c>
      <c r="GF19" s="60" t="s">
        <v>522</v>
      </c>
      <c r="GG19" s="60" t="s">
        <v>768</v>
      </c>
      <c r="GI19" s="59" t="s">
        <v>514</v>
      </c>
      <c r="GJ19" s="59" t="s">
        <v>505</v>
      </c>
      <c r="GK19" s="59" t="s">
        <v>637</v>
      </c>
      <c r="GL19" s="59" t="s">
        <v>596</v>
      </c>
      <c r="GM19" s="59">
        <v>2005</v>
      </c>
      <c r="GN19" s="59" t="s">
        <v>470</v>
      </c>
      <c r="GO19" s="59" t="s">
        <v>571</v>
      </c>
      <c r="GP19" s="59" t="s">
        <v>522</v>
      </c>
    </row>
    <row r="20" spans="1:198" ht="15.6" x14ac:dyDescent="0.3">
      <c r="A20" s="62" t="s">
        <v>27</v>
      </c>
      <c r="B20" s="223"/>
      <c r="C20" s="63" t="str">
        <f>C19</f>
        <v>Gaffel</v>
      </c>
      <c r="D20" s="63"/>
      <c r="E20" s="63"/>
      <c r="F20" s="63"/>
      <c r="G20" s="56"/>
      <c r="H20" s="209">
        <f>TBFavrundet</f>
        <v>90.999999999999986</v>
      </c>
      <c r="I20" s="65">
        <f>COUNTA(O20:AD20)</f>
        <v>5</v>
      </c>
      <c r="J20" s="228">
        <f>SUM(O20:AD20)</f>
        <v>124.69999999999999</v>
      </c>
      <c r="K20" s="119">
        <f>Seilareal/Depl^0.667/K$7</f>
        <v>1.0958848627442963</v>
      </c>
      <c r="L20" s="119">
        <f>Seilareal/Lwl/Lwl/L$7</f>
        <v>1.1823944328777949</v>
      </c>
      <c r="M20" s="95">
        <f>RiggF</f>
        <v>0.76776263031275072</v>
      </c>
      <c r="N20" s="265">
        <f>StHfaktor</f>
        <v>0.99039467399601755</v>
      </c>
      <c r="O20" s="147"/>
      <c r="P20" s="147"/>
      <c r="Q20" s="169">
        <v>25.4</v>
      </c>
      <c r="R20" s="147"/>
      <c r="S20" s="147"/>
      <c r="T20" s="169">
        <v>24</v>
      </c>
      <c r="U20" s="169">
        <v>48.3</v>
      </c>
      <c r="V20" s="148"/>
      <c r="W20" s="148"/>
      <c r="X20" s="169">
        <v>14</v>
      </c>
      <c r="Y20" s="169">
        <v>13</v>
      </c>
      <c r="Z20" s="147"/>
      <c r="AA20" s="147"/>
      <c r="AB20" s="147"/>
      <c r="AC20" s="147"/>
      <c r="AD20" s="147"/>
      <c r="AE20" s="260">
        <f t="shared" ref="AE20" si="323">AE19</f>
        <v>11.71</v>
      </c>
      <c r="AF20" s="375" t="str">
        <f t="shared" ref="AF20:AH20" si="324" xml:space="preserve"> AF19</f>
        <v>Clipper</v>
      </c>
      <c r="AG20" s="377"/>
      <c r="AH20" s="375">
        <f t="shared" si="324"/>
        <v>0</v>
      </c>
      <c r="AI20" s="377"/>
      <c r="AJ20" s="295" t="str">
        <f t="shared" ref="AJ20" si="325" xml:space="preserve"> AJ19</f>
        <v>RS</v>
      </c>
      <c r="AK20" s="47">
        <f>VLOOKUP(AJ20,Skrogform!$1:$1048576,3,FALSE)</f>
        <v>0.97</v>
      </c>
      <c r="AL20" s="66">
        <f t="shared" ref="AL20:AT20" si="326">AL19</f>
        <v>14.43</v>
      </c>
      <c r="AM20" s="66">
        <f t="shared" si="326"/>
        <v>12.65</v>
      </c>
      <c r="AN20" s="66">
        <f t="shared" si="326"/>
        <v>4.7300000000000004</v>
      </c>
      <c r="AO20" s="66">
        <f t="shared" si="326"/>
        <v>2.5</v>
      </c>
      <c r="AP20" s="66">
        <f t="shared" si="326"/>
        <v>33.5</v>
      </c>
      <c r="AQ20" s="66">
        <f t="shared" si="326"/>
        <v>10</v>
      </c>
      <c r="AR20" s="66">
        <f t="shared" si="326"/>
        <v>2.2000000000000002</v>
      </c>
      <c r="AS20" s="284">
        <f t="shared" si="326"/>
        <v>100</v>
      </c>
      <c r="AT20" s="284">
        <f t="shared" si="326"/>
        <v>500</v>
      </c>
      <c r="AU20" s="284">
        <f t="shared" ref="AU20:AV20" si="327">AU19</f>
        <v>300</v>
      </c>
      <c r="AV20" s="284">
        <f t="shared" si="327"/>
        <v>600</v>
      </c>
      <c r="AW20" s="284"/>
      <c r="AX20" s="284">
        <f>AX19</f>
        <v>1200</v>
      </c>
      <c r="AY20" s="68"/>
      <c r="AZ20" s="68"/>
      <c r="BA20" s="289"/>
      <c r="BB20" s="68"/>
      <c r="BC20" s="179"/>
      <c r="BD20" s="68"/>
      <c r="BE20" s="68"/>
      <c r="BF20" s="67" t="str">
        <f t="shared" ref="BF20:BH20" si="328" xml:space="preserve"> BF19</f>
        <v>Seilrett</v>
      </c>
      <c r="BG20" s="295">
        <f t="shared" si="328"/>
        <v>3</v>
      </c>
      <c r="BH20" s="295">
        <f t="shared" si="328"/>
        <v>70</v>
      </c>
      <c r="BI20" s="47">
        <f t="shared" si="200"/>
        <v>1</v>
      </c>
      <c r="BJ20" s="61"/>
      <c r="BK20" s="61"/>
      <c r="BM20" s="51">
        <f t="shared" ref="BM20:BR22" si="329">IF(O20=0,0,O20*BM$9)</f>
        <v>0</v>
      </c>
      <c r="BN20" s="51">
        <f t="shared" si="329"/>
        <v>0</v>
      </c>
      <c r="BO20" s="51">
        <f t="shared" si="329"/>
        <v>25.4</v>
      </c>
      <c r="BP20" s="51">
        <f t="shared" si="329"/>
        <v>0</v>
      </c>
      <c r="BQ20" s="51">
        <f t="shared" si="329"/>
        <v>0</v>
      </c>
      <c r="BR20" s="51">
        <f t="shared" si="329"/>
        <v>24</v>
      </c>
      <c r="BS20" s="52">
        <f>IF(COUNT(P20:T20)&gt;1,MINA(P20:T20)*BS$9,0)</f>
        <v>-7.1999999999999993</v>
      </c>
      <c r="BT20" s="88">
        <f t="shared" ref="BT20:CC22" si="330">IF(U20=0,0,U20*BT$9)</f>
        <v>38.64</v>
      </c>
      <c r="BU20" s="88">
        <f t="shared" si="330"/>
        <v>0</v>
      </c>
      <c r="BV20" s="88">
        <f t="shared" si="330"/>
        <v>0</v>
      </c>
      <c r="BW20" s="88">
        <f t="shared" si="330"/>
        <v>8.4</v>
      </c>
      <c r="BX20" s="88">
        <f t="shared" si="330"/>
        <v>6.5</v>
      </c>
      <c r="BY20" s="88">
        <f t="shared" si="330"/>
        <v>0</v>
      </c>
      <c r="BZ20" s="88">
        <f t="shared" si="330"/>
        <v>0</v>
      </c>
      <c r="CA20" s="88">
        <f t="shared" si="330"/>
        <v>0</v>
      </c>
      <c r="CB20" s="88">
        <f t="shared" si="330"/>
        <v>0</v>
      </c>
      <c r="CC20" s="88">
        <f t="shared" si="330"/>
        <v>0</v>
      </c>
      <c r="CD20" s="103">
        <f>SUM(BM20:CC20)</f>
        <v>95.740000000000009</v>
      </c>
      <c r="CE20" s="52"/>
      <c r="CF20" s="107">
        <f>J20</f>
        <v>124.69999999999999</v>
      </c>
      <c r="CG20" s="104">
        <f>CD20/CF20</f>
        <v>0.76776263031275072</v>
      </c>
      <c r="CH20" s="53">
        <f>Seilareal/Lwl/Lwl</f>
        <v>0.77926541580090292</v>
      </c>
      <c r="CI20" s="119">
        <f>Seilareal/Depl^0.667/K$7</f>
        <v>1.0958848627442963</v>
      </c>
      <c r="CJ20" s="53">
        <f>Seilareal/Lwl/Lwl/SApRS1</f>
        <v>1.1823944328777949</v>
      </c>
      <c r="CK20" s="209"/>
      <c r="CL20" s="209">
        <f>(ROUND(TBF/CL$6,3)*CL$6)*CL$4</f>
        <v>90.999999999999986</v>
      </c>
      <c r="CM20" s="110">
        <f t="shared" si="234"/>
        <v>0.90955731115627825</v>
      </c>
      <c r="CN20" s="64">
        <f>IF(SeilBeregnet=0,"-",(SeilBeregnet)^(1/2)*StHfaktor/(Depl+DeplTillegg/1000+Vann/1000+Diesel/1000*0.84)^(1/3))</f>
        <v>2.9766780116119578</v>
      </c>
      <c r="CO20" s="64">
        <f t="shared" si="203"/>
        <v>1.6919158611420166</v>
      </c>
      <c r="CP20" s="64">
        <f t="shared" si="204"/>
        <v>1.8859172433475835</v>
      </c>
      <c r="CQ20" s="110">
        <f t="shared" si="205"/>
        <v>0.99039467399601755</v>
      </c>
      <c r="CR20" s="172">
        <f t="shared" si="235"/>
        <v>0.93176470588235305</v>
      </c>
      <c r="CS20" s="163">
        <f>CS19</f>
        <v>0.9</v>
      </c>
      <c r="CT20" s="172">
        <f t="shared" si="236"/>
        <v>0.9263157894736842</v>
      </c>
      <c r="CU20" s="163">
        <f>CU19</f>
        <v>1.2</v>
      </c>
      <c r="CV20" s="195" t="s">
        <v>145</v>
      </c>
      <c r="CW20" s="64">
        <v>0.89</v>
      </c>
      <c r="CX20" s="64">
        <v>0.88</v>
      </c>
      <c r="CY20" s="64">
        <v>0.88</v>
      </c>
      <c r="CZ20" s="154">
        <v>0.93</v>
      </c>
      <c r="DA20" s="64">
        <f t="shared" si="210"/>
        <v>2.1330847628435965</v>
      </c>
      <c r="DB20" s="49">
        <f t="shared" si="206"/>
        <v>13.601741022850922</v>
      </c>
      <c r="DC20" s="50">
        <f t="shared" si="207"/>
        <v>0</v>
      </c>
      <c r="DE20" s="110">
        <f>IF(SeilBeregnet=0,"-",DE$7*(DG:DG+DE$6)*DL:DL*PropF+ErfaringsF+Dyp_F)</f>
        <v>0.91091548056612559</v>
      </c>
      <c r="DF20" s="144">
        <f t="shared" si="257"/>
        <v>-2.6772469079522243</v>
      </c>
      <c r="DG20" s="110">
        <f t="shared" si="208"/>
        <v>4.7822698402773005</v>
      </c>
      <c r="DH20" s="136">
        <f t="shared" si="276"/>
        <v>3.0356330841895613</v>
      </c>
      <c r="DI20" s="136">
        <f t="shared" si="277"/>
        <v>0</v>
      </c>
      <c r="DJ20" s="136">
        <f t="shared" si="278"/>
        <v>0</v>
      </c>
      <c r="DK20" s="136">
        <f t="shared" si="279"/>
        <v>1.7466367560877394</v>
      </c>
      <c r="DL20" s="110">
        <f t="shared" si="280"/>
        <v>1.8859172433475835</v>
      </c>
      <c r="DM20" s="136">
        <f t="shared" si="281"/>
        <v>2.0811665794102909</v>
      </c>
      <c r="DO20" s="74">
        <f t="shared" si="258"/>
        <v>0.93768794964564783</v>
      </c>
      <c r="DP20" s="110">
        <f t="shared" si="211"/>
        <v>0.92955646119792557</v>
      </c>
      <c r="DQ20" s="125">
        <f>DP20-DO20</f>
        <v>-8.1314884477222682E-3</v>
      </c>
      <c r="DR20" s="110">
        <f t="shared" si="212"/>
        <v>0.91823998799223228</v>
      </c>
      <c r="DS20" s="125">
        <f t="shared" si="259"/>
        <v>-1.9447961653415557E-2</v>
      </c>
      <c r="DT20" s="110">
        <f t="shared" si="213"/>
        <v>0.91111191349222265</v>
      </c>
      <c r="DU20" s="125">
        <f t="shared" si="260"/>
        <v>-2.6576036153425187E-2</v>
      </c>
      <c r="DV20" s="110">
        <f t="shared" si="282"/>
        <v>3.0353133081281567</v>
      </c>
      <c r="DW20" s="110">
        <f t="shared" si="283"/>
        <v>2.3298436208665341</v>
      </c>
      <c r="DX20" s="110">
        <f t="shared" si="284"/>
        <v>1.5468452919478386</v>
      </c>
      <c r="DZ20" s="110">
        <f t="shared" si="216"/>
        <v>0.9081261874305766</v>
      </c>
      <c r="EB20" s="110">
        <f t="shared" si="285"/>
        <v>3.0353133081281567</v>
      </c>
      <c r="EC20" s="110">
        <f t="shared" si="286"/>
        <v>2.3300209979525235</v>
      </c>
      <c r="ED20" s="110">
        <f t="shared" si="287"/>
        <v>1.7888362215273397</v>
      </c>
      <c r="EE20" s="110">
        <f t="shared" si="218"/>
        <v>0.90902707574277997</v>
      </c>
      <c r="EG20" s="110">
        <f t="shared" si="288"/>
        <v>4.6951601002646584</v>
      </c>
      <c r="EH20" s="110">
        <f t="shared" si="289"/>
        <v>3.0353133081281567</v>
      </c>
      <c r="EI20" s="110">
        <f t="shared" si="290"/>
        <v>1.5468452919478386</v>
      </c>
      <c r="EJ20" s="110">
        <f t="shared" si="291"/>
        <v>1.8859172433475835</v>
      </c>
      <c r="EK20" s="110">
        <f>IF(SeilBeregnet=0,"-",EK$7*(EK$4*EM:EM+EK$6)*EP:EP*PropF+ErfaringsF+Dyp_F)</f>
        <v>0.91150849263375211</v>
      </c>
      <c r="EM20" s="110">
        <f>IF(SeilBeregnet=0,EM19,(EN:EN*EO:EO)^EM$3)</f>
        <v>1.7320335358751981</v>
      </c>
      <c r="EN20" s="110">
        <f t="shared" si="292"/>
        <v>3.0353133081281567</v>
      </c>
      <c r="EO20" s="110">
        <f t="shared" si="293"/>
        <v>0.98834613262588367</v>
      </c>
      <c r="EP20" s="110">
        <f t="shared" si="294"/>
        <v>1.9055124848006821</v>
      </c>
      <c r="EQ20" s="110">
        <f>IF(SeilBeregnet=0,"-",EQ$7*(ES:ES+EQ$6)*EV:EV*PropF+ErfaringsF+Dyp_F)</f>
        <v>0.90316881484727662</v>
      </c>
      <c r="ES20" s="110">
        <f>(ET:ET*EU:EU)^ES$3</f>
        <v>1.7321247699949149</v>
      </c>
      <c r="ET20" s="110">
        <f t="shared" si="295"/>
        <v>3.0356330841895613</v>
      </c>
      <c r="EU20" s="110">
        <f t="shared" si="296"/>
        <v>0.98834613262588367</v>
      </c>
      <c r="EV20" s="110">
        <f t="shared" si="297"/>
        <v>1.9055124848006821</v>
      </c>
      <c r="EW20" s="110">
        <f>IF(SeilBeregnet=0,"-",EW$7*(EY:EY+EW$6)*FB:FB*PropF+ErfaringsF+Dyp_F)</f>
        <v>0.90981411519873712</v>
      </c>
      <c r="EX20" s="144">
        <f t="shared" si="261"/>
        <v>-2.7873834446910717</v>
      </c>
      <c r="EY20" s="110">
        <f>(EZ:EZ*FA:FA)^EY$3</f>
        <v>2.9652916307673247</v>
      </c>
      <c r="EZ20" s="136">
        <f t="shared" si="298"/>
        <v>3.0356330841895613</v>
      </c>
      <c r="FA20" s="136">
        <f t="shared" si="299"/>
        <v>0.9768280778765408</v>
      </c>
      <c r="FB20" s="110">
        <f t="shared" si="300"/>
        <v>1.0715484158695705</v>
      </c>
      <c r="FC20" s="110">
        <f>IF(SeilBeregnet=0,"-",FC$7*(FE:FE+FC$6)*FI:FI*PropF+ErfaringsF+Dyp_F)</f>
        <v>0.91533596556512009</v>
      </c>
      <c r="FD20" s="144">
        <f t="shared" si="262"/>
        <v>-2.2351984080527743</v>
      </c>
      <c r="FE20" s="110">
        <f>(FF:FF+FG:FG+FH:FH)^FE$3+FE$7</f>
        <v>5.0557624810613362</v>
      </c>
      <c r="FF20" s="136">
        <f t="shared" si="301"/>
        <v>3.0356330841895613</v>
      </c>
      <c r="FG20" s="136">
        <f t="shared" si="302"/>
        <v>0.77349264078403523</v>
      </c>
      <c r="FH20" s="136">
        <f t="shared" si="303"/>
        <v>1.7466367560877394</v>
      </c>
      <c r="FI20" s="110">
        <f t="shared" si="304"/>
        <v>1.8859172433475835</v>
      </c>
      <c r="FJ20" s="110">
        <f>IF(SeilBeregnet=0,"-",FJ$7*(FL:FL+FJ$6)*FO:FO*PropF+ErfaringsF+Dyp_F)</f>
        <v>0.91224025995562419</v>
      </c>
      <c r="FK20" s="144">
        <f t="shared" si="263"/>
        <v>-2.5447689690023645</v>
      </c>
      <c r="FL20" s="110">
        <f>(FM:FM*FN:FN)^FL$3</f>
        <v>5.3021483228414752</v>
      </c>
      <c r="FM20" s="136">
        <f t="shared" si="305"/>
        <v>3.0356330841895613</v>
      </c>
      <c r="FN20" s="136">
        <f t="shared" si="306"/>
        <v>1.7466367560877394</v>
      </c>
      <c r="FO20" s="110">
        <f t="shared" si="307"/>
        <v>1.8859172433475835</v>
      </c>
      <c r="FQ20">
        <v>0.95</v>
      </c>
      <c r="FR20" s="64">
        <f t="shared" si="264"/>
        <v>1.1500580327452179</v>
      </c>
      <c r="FS20" s="479"/>
      <c r="FT20" s="18"/>
      <c r="FU20" s="481"/>
      <c r="FV20" s="504"/>
      <c r="FW20" s="18"/>
      <c r="FX20" s="18"/>
      <c r="FY20" s="18"/>
      <c r="FZ20" s="18"/>
      <c r="GB20" s="18"/>
      <c r="GC20" s="481"/>
      <c r="GD20" s="8"/>
      <c r="GE20" s="8"/>
      <c r="GF20" s="8"/>
      <c r="GG20" s="8"/>
      <c r="GI20" s="18"/>
      <c r="GJ20" s="18"/>
      <c r="GK20" s="18"/>
      <c r="GL20" s="18"/>
      <c r="GM20" s="18"/>
      <c r="GN20" s="18"/>
      <c r="GO20" s="18"/>
      <c r="GP20" s="18"/>
    </row>
    <row r="21" spans="1:198" ht="15.6" x14ac:dyDescent="0.3">
      <c r="A21" s="62" t="s">
        <v>28</v>
      </c>
      <c r="B21" s="223"/>
      <c r="C21" s="14" t="str">
        <f>C19</f>
        <v>Gaffel</v>
      </c>
      <c r="G21" s="56"/>
      <c r="H21" s="209">
        <f>TBFavrundet</f>
        <v>88.999999999999986</v>
      </c>
      <c r="I21" s="65">
        <f>COUNTA(O21:AD21)</f>
        <v>4</v>
      </c>
      <c r="J21" s="228">
        <f>SUM(O21:AD21)</f>
        <v>111.69999999999999</v>
      </c>
      <c r="K21" s="119">
        <f>Seilareal/Depl^0.667/K$7</f>
        <v>0.98163864609894069</v>
      </c>
      <c r="L21" s="119">
        <f>Seilareal/Lwl/Lwl/L$7</f>
        <v>1.0591295762024835</v>
      </c>
      <c r="M21" s="95">
        <f>RiggF</f>
        <v>0.79892569382273959</v>
      </c>
      <c r="N21" s="265">
        <f>StHfaktor</f>
        <v>0.99039467399601755</v>
      </c>
      <c r="O21" s="147"/>
      <c r="P21" s="147"/>
      <c r="Q21" s="169">
        <v>25.4</v>
      </c>
      <c r="R21" s="147"/>
      <c r="S21" s="147"/>
      <c r="T21" s="169">
        <v>24</v>
      </c>
      <c r="U21" s="169">
        <v>48.3</v>
      </c>
      <c r="V21" s="148"/>
      <c r="W21" s="148"/>
      <c r="X21" s="169">
        <v>14</v>
      </c>
      <c r="Y21" s="147"/>
      <c r="Z21" s="147"/>
      <c r="AA21" s="147"/>
      <c r="AB21" s="147"/>
      <c r="AC21" s="147"/>
      <c r="AD21" s="147"/>
      <c r="AE21" s="260">
        <f t="shared" ref="AE21" si="331">AE20</f>
        <v>11.71</v>
      </c>
      <c r="AF21" s="375" t="str">
        <f t="shared" ref="AF21:AH21" si="332" xml:space="preserve"> AF20</f>
        <v>Clipper</v>
      </c>
      <c r="AG21" s="377"/>
      <c r="AH21" s="375">
        <f t="shared" si="332"/>
        <v>0</v>
      </c>
      <c r="AI21" s="377"/>
      <c r="AJ21" s="295" t="str">
        <f t="shared" ref="AJ21" si="333" xml:space="preserve"> AJ20</f>
        <v>RS</v>
      </c>
      <c r="AK21" s="47">
        <f>VLOOKUP(AJ21,Skrogform!$1:$1048576,3,FALSE)</f>
        <v>0.97</v>
      </c>
      <c r="AL21" s="66">
        <f t="shared" ref="AL21:AT21" si="334">AL20</f>
        <v>14.43</v>
      </c>
      <c r="AM21" s="66">
        <f t="shared" si="334"/>
        <v>12.65</v>
      </c>
      <c r="AN21" s="66">
        <f t="shared" si="334"/>
        <v>4.7300000000000004</v>
      </c>
      <c r="AO21" s="66">
        <f t="shared" si="334"/>
        <v>2.5</v>
      </c>
      <c r="AP21" s="66">
        <f t="shared" si="334"/>
        <v>33.5</v>
      </c>
      <c r="AQ21" s="66">
        <f t="shared" si="334"/>
        <v>10</v>
      </c>
      <c r="AR21" s="66">
        <f t="shared" si="334"/>
        <v>2.2000000000000002</v>
      </c>
      <c r="AS21" s="284">
        <f t="shared" si="334"/>
        <v>100</v>
      </c>
      <c r="AT21" s="284">
        <f t="shared" si="334"/>
        <v>500</v>
      </c>
      <c r="AU21" s="284">
        <f t="shared" ref="AU21:AV21" si="335">AU20</f>
        <v>300</v>
      </c>
      <c r="AV21" s="284">
        <f t="shared" si="335"/>
        <v>600</v>
      </c>
      <c r="AW21" s="284"/>
      <c r="AX21" s="284">
        <f>AX20</f>
        <v>1200</v>
      </c>
      <c r="AY21" s="68"/>
      <c r="AZ21" s="68"/>
      <c r="BA21" s="289"/>
      <c r="BB21" s="68"/>
      <c r="BC21" s="179"/>
      <c r="BD21" s="68"/>
      <c r="BE21" s="68"/>
      <c r="BF21" s="67" t="str">
        <f t="shared" ref="BF21:BH21" si="336" xml:space="preserve"> BF20</f>
        <v>Seilrett</v>
      </c>
      <c r="BG21" s="295">
        <f t="shared" si="336"/>
        <v>3</v>
      </c>
      <c r="BH21" s="295">
        <f t="shared" si="336"/>
        <v>70</v>
      </c>
      <c r="BI21" s="47">
        <f t="shared" si="200"/>
        <v>1</v>
      </c>
      <c r="BJ21" s="61"/>
      <c r="BK21" s="61"/>
      <c r="BM21" s="51">
        <f t="shared" si="329"/>
        <v>0</v>
      </c>
      <c r="BN21" s="51">
        <f t="shared" si="329"/>
        <v>0</v>
      </c>
      <c r="BO21" s="51">
        <f t="shared" si="329"/>
        <v>25.4</v>
      </c>
      <c r="BP21" s="51">
        <f t="shared" si="329"/>
        <v>0</v>
      </c>
      <c r="BQ21" s="51">
        <f t="shared" si="329"/>
        <v>0</v>
      </c>
      <c r="BR21" s="51">
        <f t="shared" si="329"/>
        <v>24</v>
      </c>
      <c r="BS21" s="52">
        <f>IF(COUNT(P21:T21)&gt;1,MINA(P21:T21)*BS$9,0)</f>
        <v>-7.1999999999999993</v>
      </c>
      <c r="BT21" s="88">
        <f t="shared" si="330"/>
        <v>38.64</v>
      </c>
      <c r="BU21" s="88">
        <f t="shared" si="330"/>
        <v>0</v>
      </c>
      <c r="BV21" s="88">
        <f t="shared" si="330"/>
        <v>0</v>
      </c>
      <c r="BW21" s="88">
        <f t="shared" si="330"/>
        <v>8.4</v>
      </c>
      <c r="BX21" s="88">
        <f t="shared" si="330"/>
        <v>0</v>
      </c>
      <c r="BY21" s="88">
        <f t="shared" si="330"/>
        <v>0</v>
      </c>
      <c r="BZ21" s="88">
        <f t="shared" si="330"/>
        <v>0</v>
      </c>
      <c r="CA21" s="88">
        <f t="shared" si="330"/>
        <v>0</v>
      </c>
      <c r="CB21" s="88">
        <f t="shared" si="330"/>
        <v>0</v>
      </c>
      <c r="CC21" s="88">
        <f t="shared" si="330"/>
        <v>0</v>
      </c>
      <c r="CD21" s="103">
        <f>SUM(BM21:CC21)</f>
        <v>89.240000000000009</v>
      </c>
      <c r="CE21" s="52"/>
      <c r="CF21" s="107">
        <f>J21</f>
        <v>111.69999999999999</v>
      </c>
      <c r="CG21" s="104">
        <f>CD21/CF21</f>
        <v>0.79892569382273959</v>
      </c>
      <c r="CH21" s="53">
        <f>Seilareal/Lwl/Lwl</f>
        <v>0.69802683997562842</v>
      </c>
      <c r="CI21" s="119">
        <f>Seilareal/Depl^0.667/K$7</f>
        <v>0.98163864609894069</v>
      </c>
      <c r="CJ21" s="53">
        <f>Seilareal/Lwl/Lwl/SApRS1</f>
        <v>1.0591295762024835</v>
      </c>
      <c r="CK21" s="209"/>
      <c r="CL21" s="209">
        <f>(ROUND(TBF/CL$6,3)*CL$6)*CL$4</f>
        <v>88.999999999999986</v>
      </c>
      <c r="CM21" s="110">
        <f t="shared" si="234"/>
        <v>0.88952494942074689</v>
      </c>
      <c r="CN21" s="64">
        <f>IF(SeilBeregnet=0,"-",(SeilBeregnet)^(1/2)*StHfaktor/(Depl+DeplTillegg/1000+Vann/1000+Diesel/1000*0.84)^(1/3))</f>
        <v>2.8738555065227498</v>
      </c>
      <c r="CO21" s="64">
        <f t="shared" si="203"/>
        <v>1.6919158611420166</v>
      </c>
      <c r="CP21" s="64">
        <f t="shared" si="204"/>
        <v>1.8859172433475835</v>
      </c>
      <c r="CQ21" s="110">
        <f t="shared" si="205"/>
        <v>0.99039467399601755</v>
      </c>
      <c r="CR21" s="172" t="str">
        <f t="shared" si="235"/>
        <v>-</v>
      </c>
      <c r="CS21" s="162"/>
      <c r="CT21" s="172" t="str">
        <f t="shared" si="236"/>
        <v>-</v>
      </c>
      <c r="CU21" s="164"/>
      <c r="CV21" s="195" t="s">
        <v>145</v>
      </c>
      <c r="CW21" s="64">
        <v>0.87</v>
      </c>
      <c r="CX21" s="64">
        <v>0.87</v>
      </c>
      <c r="CY21" s="64">
        <v>0.86</v>
      </c>
      <c r="CZ21" s="154">
        <v>0.91</v>
      </c>
      <c r="DA21" s="64">
        <f t="shared" si="210"/>
        <v>2.1330847628435965</v>
      </c>
      <c r="DB21" s="49">
        <f t="shared" si="206"/>
        <v>13.601741022850922</v>
      </c>
      <c r="DC21" s="50">
        <f t="shared" si="207"/>
        <v>0</v>
      </c>
      <c r="DE21" s="110">
        <f>IF(SeilBeregnet=0,"-",DE$7*(DG:DG+DE$6)*DL:DL*PropF+ErfaringsF+Dyp_F)</f>
        <v>0.89094219075485415</v>
      </c>
      <c r="DF21" s="144" t="str">
        <f t="shared" si="257"/>
        <v>-</v>
      </c>
      <c r="DG21" s="110">
        <f t="shared" si="208"/>
        <v>4.6774108676136699</v>
      </c>
      <c r="DH21" s="136">
        <f t="shared" si="276"/>
        <v>2.9307741115259303</v>
      </c>
      <c r="DI21" s="136">
        <f t="shared" si="277"/>
        <v>0</v>
      </c>
      <c r="DJ21" s="136">
        <f t="shared" si="278"/>
        <v>0</v>
      </c>
      <c r="DK21" s="136">
        <f t="shared" si="279"/>
        <v>1.7466367560877394</v>
      </c>
      <c r="DL21" s="110">
        <f t="shared" si="280"/>
        <v>1.8859172433475835</v>
      </c>
      <c r="DM21" s="136">
        <f t="shared" si="281"/>
        <v>2.0811665794102909</v>
      </c>
      <c r="DO21" s="110">
        <f t="shared" si="258"/>
        <v>0.91703603033066694</v>
      </c>
      <c r="DP21" s="110">
        <f t="shared" si="211"/>
        <v>0.90426274684360752</v>
      </c>
      <c r="DR21" s="110">
        <f t="shared" si="212"/>
        <v>0.89812532847034898</v>
      </c>
      <c r="DS21" s="125" t="str">
        <f t="shared" si="259"/>
        <v>-</v>
      </c>
      <c r="DT21" s="110">
        <f t="shared" si="213"/>
        <v>0.88743249558442161</v>
      </c>
      <c r="DU21" s="125" t="str">
        <f t="shared" si="260"/>
        <v>-</v>
      </c>
      <c r="DV21" s="110">
        <f t="shared" si="282"/>
        <v>2.9304653813941064</v>
      </c>
      <c r="DW21" s="110">
        <f t="shared" si="283"/>
        <v>2.3298436208665341</v>
      </c>
      <c r="DX21" s="110">
        <f t="shared" si="284"/>
        <v>1.5468452919478386</v>
      </c>
      <c r="DZ21" s="110">
        <f t="shared" si="216"/>
        <v>0.88684831616706439</v>
      </c>
      <c r="EB21" s="110">
        <f t="shared" si="285"/>
        <v>2.9304653813941064</v>
      </c>
      <c r="EC21" s="110">
        <f t="shared" si="286"/>
        <v>2.3300209979525235</v>
      </c>
      <c r="ED21" s="110">
        <f t="shared" si="287"/>
        <v>1.7888362215273397</v>
      </c>
      <c r="EE21" s="110">
        <f t="shared" si="218"/>
        <v>0.88700680880619154</v>
      </c>
      <c r="EG21" s="110">
        <f t="shared" si="288"/>
        <v>4.5329765784256004</v>
      </c>
      <c r="EH21" s="110">
        <f t="shared" si="289"/>
        <v>2.9304653813941064</v>
      </c>
      <c r="EI21" s="110">
        <f t="shared" si="290"/>
        <v>1.5468452919478386</v>
      </c>
      <c r="EJ21" s="110">
        <f t="shared" si="291"/>
        <v>1.8859172433475835</v>
      </c>
      <c r="EK21" s="110">
        <f>IF(SeilBeregnet=0,"-",EK$7*(EK$4*EM:EM+EK$6)*EP:EP*PropF+ErfaringsF+Dyp_F)</f>
        <v>0.88918198610493981</v>
      </c>
      <c r="EM21" s="110">
        <f>IF(SeilBeregnet=0,EM20,(EN:EN*EO:EO)^EM$3)</f>
        <v>1.7018560827798865</v>
      </c>
      <c r="EN21" s="110">
        <f t="shared" si="292"/>
        <v>2.9304653813941064</v>
      </c>
      <c r="EO21" s="110">
        <f t="shared" si="293"/>
        <v>0.98834613262588367</v>
      </c>
      <c r="EP21" s="110">
        <f t="shared" si="294"/>
        <v>1.9055124848006821</v>
      </c>
      <c r="EQ21" s="110">
        <f>IF(SeilBeregnet=0,"-",EQ$7*(ES:ES+EQ$6)*EV:EV*PropF+ErfaringsF+Dyp_F)</f>
        <v>0.88743278319276853</v>
      </c>
      <c r="ES21" s="110">
        <f>(ET:ET*EU:EU)^ES$3</f>
        <v>1.7019457273152729</v>
      </c>
      <c r="ET21" s="110">
        <f t="shared" si="295"/>
        <v>2.9307741115259303</v>
      </c>
      <c r="EU21" s="110">
        <f t="shared" si="296"/>
        <v>0.98834613262588367</v>
      </c>
      <c r="EV21" s="110">
        <f t="shared" si="297"/>
        <v>1.9055124848006821</v>
      </c>
      <c r="EW21" s="110">
        <f>IF(SeilBeregnet=0,"-",EW$7*(EY:EY+EW$6)*FB:FB*PropF+ErfaringsF+Dyp_F)</f>
        <v>0.89104552542972615</v>
      </c>
      <c r="EX21" s="144" t="str">
        <f t="shared" si="261"/>
        <v>-</v>
      </c>
      <c r="EY21" s="110">
        <f>(EZ:EZ*FA:FA)^EY$3</f>
        <v>2.8628624420522009</v>
      </c>
      <c r="EZ21" s="136">
        <f t="shared" si="298"/>
        <v>2.9307741115259303</v>
      </c>
      <c r="FA21" s="136">
        <f t="shared" si="299"/>
        <v>0.9768280778765408</v>
      </c>
      <c r="FB21" s="110">
        <f t="shared" si="300"/>
        <v>1.0715484158695705</v>
      </c>
      <c r="FC21" s="110">
        <f>IF(SeilBeregnet=0,"-",FC$7*(FE:FE+FC$6)*FI:FI*PropF+ErfaringsF+Dyp_F)</f>
        <v>0.8915141151721957</v>
      </c>
      <c r="FD21" s="144" t="str">
        <f t="shared" si="262"/>
        <v>-</v>
      </c>
      <c r="FE21" s="110">
        <f>(FF:FF+FG:FG+FH:FH)^FE$3+FE$7</f>
        <v>4.9241849816765653</v>
      </c>
      <c r="FF21" s="136">
        <f t="shared" si="301"/>
        <v>2.9307741115259303</v>
      </c>
      <c r="FG21" s="136">
        <f t="shared" si="302"/>
        <v>0.74677411406289596</v>
      </c>
      <c r="FH21" s="136">
        <f t="shared" si="303"/>
        <v>1.7466367560877394</v>
      </c>
      <c r="FI21" s="110">
        <f t="shared" si="304"/>
        <v>1.8859172433475835</v>
      </c>
      <c r="FJ21" s="110">
        <f>IF(SeilBeregnet=0,"-",FJ$7*(FL:FL+FJ$6)*FO:FO*PropF+ErfaringsF+Dyp_F)</f>
        <v>0.89427910876288452</v>
      </c>
      <c r="FK21" s="144" t="str">
        <f t="shared" si="263"/>
        <v>-</v>
      </c>
      <c r="FL21" s="110">
        <f>(FM:FM*FN:FN)^FL$3</f>
        <v>5.118997786981577</v>
      </c>
      <c r="FM21" s="136">
        <f t="shared" si="305"/>
        <v>2.9307741115259303</v>
      </c>
      <c r="FN21" s="136">
        <f t="shared" si="306"/>
        <v>1.7466367560877394</v>
      </c>
      <c r="FO21" s="110">
        <f t="shared" si="307"/>
        <v>1.8859172433475835</v>
      </c>
      <c r="FQ21">
        <v>0.95</v>
      </c>
      <c r="FR21" s="64">
        <f t="shared" si="264"/>
        <v>1.1324886951659023</v>
      </c>
      <c r="FS21" s="479"/>
      <c r="FT21" s="18"/>
      <c r="FU21" s="481"/>
      <c r="FV21" s="504"/>
      <c r="FW21" s="18"/>
      <c r="FX21" s="18"/>
      <c r="FY21" s="18"/>
      <c r="FZ21" s="18"/>
      <c r="GB21" s="18"/>
      <c r="GC21" s="481"/>
      <c r="GD21" s="8"/>
      <c r="GE21" s="8"/>
      <c r="GF21" s="8"/>
      <c r="GG21" s="8"/>
      <c r="GI21" s="18"/>
      <c r="GJ21" s="18"/>
      <c r="GK21" s="18"/>
      <c r="GL21" s="18"/>
      <c r="GM21" s="18"/>
      <c r="GN21" s="18"/>
      <c r="GO21" s="18"/>
      <c r="GP21" s="18"/>
    </row>
    <row r="22" spans="1:198" ht="15.6" x14ac:dyDescent="0.3">
      <c r="A22" s="62" t="s">
        <v>161</v>
      </c>
      <c r="B22" s="223"/>
      <c r="C22" s="14" t="str">
        <f>C20</f>
        <v>Gaffel</v>
      </c>
      <c r="G22" s="56"/>
      <c r="H22" s="209">
        <f>TBFavrundet</f>
        <v>86.999999999999986</v>
      </c>
      <c r="I22" s="65">
        <f>COUNTA(O22:AD22)</f>
        <v>4</v>
      </c>
      <c r="J22" s="228">
        <f>SUM(O22:AD22)</f>
        <v>104.3</v>
      </c>
      <c r="K22" s="119">
        <f>Seilareal/Depl^0.667/K$7</f>
        <v>0.91660618431619989</v>
      </c>
      <c r="L22" s="119">
        <f>Seilareal/Lwl/Lwl/L$7</f>
        <v>0.98896342701807538</v>
      </c>
      <c r="M22" s="95">
        <f>RiggF</f>
        <v>0.8019175455417068</v>
      </c>
      <c r="N22" s="265">
        <f>StHfaktor</f>
        <v>0.99039467399601755</v>
      </c>
      <c r="O22" s="147"/>
      <c r="P22" s="147"/>
      <c r="Q22" s="147"/>
      <c r="R22" s="169">
        <v>18</v>
      </c>
      <c r="S22" s="147"/>
      <c r="T22" s="169">
        <v>24</v>
      </c>
      <c r="U22" s="169">
        <v>48.3</v>
      </c>
      <c r="V22" s="148"/>
      <c r="W22" s="148"/>
      <c r="X22" s="169">
        <v>14</v>
      </c>
      <c r="Y22" s="147"/>
      <c r="Z22" s="147"/>
      <c r="AA22" s="147"/>
      <c r="AB22" s="147"/>
      <c r="AC22" s="147"/>
      <c r="AD22" s="147"/>
      <c r="AE22" s="260">
        <f t="shared" ref="AE22" si="337">AE21</f>
        <v>11.71</v>
      </c>
      <c r="AF22" s="375" t="str">
        <f t="shared" ref="AF22:AH22" si="338" xml:space="preserve"> AF21</f>
        <v>Clipper</v>
      </c>
      <c r="AG22" s="377"/>
      <c r="AH22" s="375">
        <f t="shared" si="338"/>
        <v>0</v>
      </c>
      <c r="AI22" s="377"/>
      <c r="AJ22" s="295" t="str">
        <f t="shared" ref="AJ22" si="339" xml:space="preserve"> AJ21</f>
        <v>RS</v>
      </c>
      <c r="AK22" s="47">
        <f>VLOOKUP(AJ22,Skrogform!$1:$1048576,3,FALSE)</f>
        <v>0.97</v>
      </c>
      <c r="AL22" s="66">
        <f t="shared" ref="AL22:AT22" si="340">AL21</f>
        <v>14.43</v>
      </c>
      <c r="AM22" s="66">
        <f t="shared" si="340"/>
        <v>12.65</v>
      </c>
      <c r="AN22" s="66">
        <f t="shared" si="340"/>
        <v>4.7300000000000004</v>
      </c>
      <c r="AO22" s="66">
        <f t="shared" si="340"/>
        <v>2.5</v>
      </c>
      <c r="AP22" s="66">
        <f t="shared" si="340"/>
        <v>33.5</v>
      </c>
      <c r="AQ22" s="66">
        <f t="shared" si="340"/>
        <v>10</v>
      </c>
      <c r="AR22" s="66">
        <f t="shared" si="340"/>
        <v>2.2000000000000002</v>
      </c>
      <c r="AS22" s="284">
        <f t="shared" si="340"/>
        <v>100</v>
      </c>
      <c r="AT22" s="284">
        <f t="shared" si="340"/>
        <v>500</v>
      </c>
      <c r="AU22" s="284">
        <f t="shared" ref="AU22:AV22" si="341">AU21</f>
        <v>300</v>
      </c>
      <c r="AV22" s="284">
        <f t="shared" si="341"/>
        <v>600</v>
      </c>
      <c r="AW22" s="284"/>
      <c r="AX22" s="284">
        <f>AX21</f>
        <v>1200</v>
      </c>
      <c r="AY22" s="68"/>
      <c r="AZ22" s="68"/>
      <c r="BA22" s="289"/>
      <c r="BB22" s="68"/>
      <c r="BC22" s="179"/>
      <c r="BD22" s="68"/>
      <c r="BE22" s="68"/>
      <c r="BF22" s="67" t="str">
        <f t="shared" ref="BF22:BH22" si="342" xml:space="preserve"> BF21</f>
        <v>Seilrett</v>
      </c>
      <c r="BG22" s="295">
        <f t="shared" si="342"/>
        <v>3</v>
      </c>
      <c r="BH22" s="295">
        <f t="shared" si="342"/>
        <v>70</v>
      </c>
      <c r="BI22" s="47">
        <f t="shared" si="200"/>
        <v>1</v>
      </c>
      <c r="BJ22" s="61"/>
      <c r="BK22" s="61"/>
      <c r="BM22" s="51">
        <f t="shared" si="329"/>
        <v>0</v>
      </c>
      <c r="BN22" s="51">
        <f t="shared" si="329"/>
        <v>0</v>
      </c>
      <c r="BO22" s="51">
        <f t="shared" si="329"/>
        <v>0</v>
      </c>
      <c r="BP22" s="51">
        <f t="shared" si="329"/>
        <v>18</v>
      </c>
      <c r="BQ22" s="51">
        <f t="shared" si="329"/>
        <v>0</v>
      </c>
      <c r="BR22" s="51">
        <f t="shared" si="329"/>
        <v>24</v>
      </c>
      <c r="BS22" s="52">
        <f>IF(COUNT(P22:T22)&gt;1,MINA(P22:T22)*BS$9,0)</f>
        <v>-5.3999999999999995</v>
      </c>
      <c r="BT22" s="88">
        <f t="shared" si="330"/>
        <v>38.64</v>
      </c>
      <c r="BU22" s="88">
        <f t="shared" si="330"/>
        <v>0</v>
      </c>
      <c r="BV22" s="88">
        <f t="shared" si="330"/>
        <v>0</v>
      </c>
      <c r="BW22" s="88">
        <f t="shared" si="330"/>
        <v>8.4</v>
      </c>
      <c r="BX22" s="88">
        <f t="shared" si="330"/>
        <v>0</v>
      </c>
      <c r="BY22" s="88">
        <f t="shared" si="330"/>
        <v>0</v>
      </c>
      <c r="BZ22" s="88">
        <f t="shared" si="330"/>
        <v>0</v>
      </c>
      <c r="CA22" s="88">
        <f t="shared" si="330"/>
        <v>0</v>
      </c>
      <c r="CB22" s="88">
        <f t="shared" si="330"/>
        <v>0</v>
      </c>
      <c r="CC22" s="88">
        <f t="shared" si="330"/>
        <v>0</v>
      </c>
      <c r="CD22" s="103">
        <f>SUM(BM22:CC22)</f>
        <v>83.640000000000015</v>
      </c>
      <c r="CE22" s="52"/>
      <c r="CF22" s="107">
        <f>J22</f>
        <v>104.3</v>
      </c>
      <c r="CG22" s="104">
        <f>CD22/CF22</f>
        <v>0.8019175455417068</v>
      </c>
      <c r="CH22" s="53">
        <f>Seilareal/Lwl/Lwl</f>
        <v>0.65178334296739515</v>
      </c>
      <c r="CI22" s="119">
        <f>Seilareal/Depl^0.667/K$7</f>
        <v>0.91660618431619989</v>
      </c>
      <c r="CJ22" s="53">
        <f>Seilareal/Lwl/Lwl/SApRS1</f>
        <v>0.98896342701807538</v>
      </c>
      <c r="CK22" s="209"/>
      <c r="CL22" s="209">
        <f>(ROUND(TBF/CL$6,3)*CL$6)*CL$4</f>
        <v>86.999999999999986</v>
      </c>
      <c r="CM22" s="110">
        <f t="shared" si="234"/>
        <v>0.87167295438808234</v>
      </c>
      <c r="CN22" s="64">
        <f>IF(SeilBeregnet=0,"-",(SeilBeregnet)^(1/2)*StHfaktor/(Depl+DeplTillegg/1000+Vann/1000+Diesel/1000*0.84)^(1/3))</f>
        <v>2.7822244310493618</v>
      </c>
      <c r="CO22" s="64">
        <f t="shared" si="203"/>
        <v>1.6919158611420166</v>
      </c>
      <c r="CP22" s="64">
        <f t="shared" si="204"/>
        <v>1.8859172433475835</v>
      </c>
      <c r="CQ22" s="110">
        <f t="shared" si="205"/>
        <v>0.99039467399601755</v>
      </c>
      <c r="CR22" s="172" t="str">
        <f t="shared" si="235"/>
        <v>-</v>
      </c>
      <c r="CS22" s="162"/>
      <c r="CT22" s="172" t="str">
        <f t="shared" si="236"/>
        <v>-</v>
      </c>
      <c r="CU22" s="164"/>
      <c r="CV22" s="195" t="s">
        <v>145</v>
      </c>
      <c r="CW22" s="64">
        <v>0.85</v>
      </c>
      <c r="CX22" s="64">
        <v>0.85</v>
      </c>
      <c r="CY22" s="64">
        <v>0.84</v>
      </c>
      <c r="CZ22" s="154">
        <v>0.89</v>
      </c>
      <c r="DA22" s="64">
        <f t="shared" si="210"/>
        <v>2.1330847628435965</v>
      </c>
      <c r="DB22" s="49">
        <f t="shared" si="206"/>
        <v>13.601741022850922</v>
      </c>
      <c r="DC22" s="50">
        <f t="shared" si="207"/>
        <v>0</v>
      </c>
      <c r="DE22" s="110">
        <f>IF(SeilBeregnet=0,"-",DE$7*(DG:DG+DE$6)*DL:DL*PropF+ErfaringsF+Dyp_F)</f>
        <v>0.87314283812713278</v>
      </c>
      <c r="DF22" s="144" t="str">
        <f t="shared" si="257"/>
        <v>-</v>
      </c>
      <c r="DG22" s="110">
        <f t="shared" si="208"/>
        <v>4.5839649782155556</v>
      </c>
      <c r="DH22" s="136">
        <f t="shared" si="276"/>
        <v>2.8373282221278164</v>
      </c>
      <c r="DI22" s="136">
        <f t="shared" si="277"/>
        <v>0</v>
      </c>
      <c r="DJ22" s="136">
        <f t="shared" si="278"/>
        <v>0</v>
      </c>
      <c r="DK22" s="136">
        <f t="shared" si="279"/>
        <v>1.7466367560877394</v>
      </c>
      <c r="DL22" s="110">
        <f t="shared" si="280"/>
        <v>1.8859172433475835</v>
      </c>
      <c r="DM22" s="136">
        <f t="shared" si="281"/>
        <v>2.0811665794102909</v>
      </c>
      <c r="DO22" s="110">
        <f t="shared" si="258"/>
        <v>0.89863191174029111</v>
      </c>
      <c r="DP22" s="110">
        <f t="shared" si="211"/>
        <v>0.8817220564860635</v>
      </c>
      <c r="DR22" s="110">
        <f t="shared" si="212"/>
        <v>0.88019999312501662</v>
      </c>
      <c r="DS22" s="125" t="str">
        <f t="shared" si="259"/>
        <v>-</v>
      </c>
      <c r="DT22" s="110">
        <f t="shared" si="213"/>
        <v>0.86633039806605128</v>
      </c>
      <c r="DU22" s="125" t="str">
        <f t="shared" si="260"/>
        <v>-</v>
      </c>
      <c r="DV22" s="110">
        <f t="shared" si="282"/>
        <v>2.8370293356620873</v>
      </c>
      <c r="DW22" s="110">
        <f t="shared" si="283"/>
        <v>2.3298436208665341</v>
      </c>
      <c r="DX22" s="110">
        <f t="shared" si="284"/>
        <v>1.5468452919478386</v>
      </c>
      <c r="DZ22" s="110">
        <f t="shared" si="216"/>
        <v>0.86788637562721493</v>
      </c>
      <c r="EB22" s="110">
        <f t="shared" si="285"/>
        <v>2.8370293356620873</v>
      </c>
      <c r="EC22" s="110">
        <f t="shared" si="286"/>
        <v>2.3300209979525235</v>
      </c>
      <c r="ED22" s="110">
        <f t="shared" si="287"/>
        <v>1.7888362215273397</v>
      </c>
      <c r="EE22" s="110">
        <f t="shared" si="218"/>
        <v>0.86738327658569081</v>
      </c>
      <c r="EG22" s="110">
        <f t="shared" si="288"/>
        <v>4.3884454709868042</v>
      </c>
      <c r="EH22" s="110">
        <f t="shared" si="289"/>
        <v>2.8370293356620873</v>
      </c>
      <c r="EI22" s="110">
        <f t="shared" si="290"/>
        <v>1.5468452919478386</v>
      </c>
      <c r="EJ22" s="110">
        <f t="shared" si="291"/>
        <v>1.8859172433475835</v>
      </c>
      <c r="EK22" s="110">
        <f>IF(SeilBeregnet=0,"-",EK$7*(EK$4*EM:EM+EK$6)*EP:EP*PropF+ErfaringsF+Dyp_F)</f>
        <v>0.86894653815291101</v>
      </c>
      <c r="EM22" s="110">
        <f>IF(SeilBeregnet=0,EM21,(EN:EN*EO:EO)^EM$3)</f>
        <v>1.6745049931391081</v>
      </c>
      <c r="EN22" s="110">
        <f t="shared" si="292"/>
        <v>2.8370293356620873</v>
      </c>
      <c r="EO22" s="110">
        <f t="shared" si="293"/>
        <v>0.98834613262588367</v>
      </c>
      <c r="EP22" s="110">
        <f t="shared" si="294"/>
        <v>1.9055124848006821</v>
      </c>
      <c r="EQ22" s="110">
        <f>IF(SeilBeregnet=0,"-",EQ$7*(ES:ES+EQ$6)*EV:EV*PropF+ErfaringsF+Dyp_F)</f>
        <v>0.87317055864342608</v>
      </c>
      <c r="ES22" s="110">
        <f>(ET:ET*EU:EU)^ES$3</f>
        <v>1.6745931969676402</v>
      </c>
      <c r="ET22" s="110">
        <f t="shared" si="295"/>
        <v>2.8373282221278164</v>
      </c>
      <c r="EU22" s="110">
        <f t="shared" si="296"/>
        <v>0.98834613262588367</v>
      </c>
      <c r="EV22" s="110">
        <f t="shared" si="297"/>
        <v>1.9055124848006821</v>
      </c>
      <c r="EW22" s="110">
        <f>IF(SeilBeregnet=0,"-",EW$7*(EY:EY+EW$6)*FB:FB*PropF+ErfaringsF+Dyp_F)</f>
        <v>0.87431975061845102</v>
      </c>
      <c r="EX22" s="144" t="str">
        <f t="shared" si="261"/>
        <v>-</v>
      </c>
      <c r="EY22" s="110">
        <f>(EZ:EZ*FA:FA)^EY$3</f>
        <v>2.7715818735259776</v>
      </c>
      <c r="EZ22" s="136">
        <f t="shared" si="298"/>
        <v>2.8373282221278164</v>
      </c>
      <c r="FA22" s="136">
        <f t="shared" si="299"/>
        <v>0.9768280778765408</v>
      </c>
      <c r="FB22" s="110">
        <f t="shared" si="300"/>
        <v>1.0715484158695705</v>
      </c>
      <c r="FC22" s="110">
        <f>IF(SeilBeregnet=0,"-",FC$7*(FE:FE+FC$6)*FI:FI*PropF+ErfaringsF+Dyp_F)</f>
        <v>0.87028508783643899</v>
      </c>
      <c r="FD22" s="144" t="str">
        <f t="shared" si="262"/>
        <v>-</v>
      </c>
      <c r="FE22" s="110">
        <f>(FF:FF+FG:FG+FH:FH)^FE$3+FE$7</f>
        <v>4.8069286692937334</v>
      </c>
      <c r="FF22" s="136">
        <f t="shared" si="301"/>
        <v>2.8373282221278164</v>
      </c>
      <c r="FG22" s="136">
        <f t="shared" si="302"/>
        <v>0.72296369107817726</v>
      </c>
      <c r="FH22" s="136">
        <f t="shared" si="303"/>
        <v>1.7466367560877394</v>
      </c>
      <c r="FI22" s="110">
        <f t="shared" si="304"/>
        <v>1.8859172433475835</v>
      </c>
      <c r="FJ22" s="110">
        <f>IF(SeilBeregnet=0,"-",FJ$7*(FL:FL+FJ$6)*FO:FO*PropF+ErfaringsF+Dyp_F)</f>
        <v>0.87827288912154267</v>
      </c>
      <c r="FK22" s="144" t="str">
        <f t="shared" si="263"/>
        <v>-</v>
      </c>
      <c r="FL22" s="110">
        <f>(FM:FM*FN:FN)^FL$3</f>
        <v>4.9557817618535225</v>
      </c>
      <c r="FM22" s="136">
        <f t="shared" si="305"/>
        <v>2.8373282221278164</v>
      </c>
      <c r="FN22" s="136">
        <f t="shared" si="306"/>
        <v>1.7466367560877394</v>
      </c>
      <c r="FO22" s="110">
        <f t="shared" si="307"/>
        <v>1.8859172433475835</v>
      </c>
      <c r="FQ22">
        <v>0.95</v>
      </c>
      <c r="FR22" s="64">
        <f t="shared" si="264"/>
        <v>1.1168316432748699</v>
      </c>
      <c r="FS22" s="479"/>
      <c r="FT22" s="18"/>
      <c r="FU22" s="481"/>
      <c r="FV22" s="504"/>
      <c r="FW22" s="18"/>
      <c r="FX22" s="18"/>
      <c r="FY22" s="18"/>
      <c r="FZ22" s="18"/>
      <c r="GB22" s="18"/>
      <c r="GC22" s="481"/>
      <c r="GD22" s="8"/>
      <c r="GE22" s="8"/>
      <c r="GF22" s="8"/>
      <c r="GG22" s="8"/>
      <c r="GI22" s="18"/>
      <c r="GJ22" s="18"/>
      <c r="GK22" s="18"/>
      <c r="GL22" s="18"/>
      <c r="GM22" s="18"/>
      <c r="GN22" s="18"/>
      <c r="GO22" s="18"/>
      <c r="GP22" s="18"/>
    </row>
    <row r="23" spans="1:198" ht="15.6" x14ac:dyDescent="0.3">
      <c r="A23" s="54" t="s">
        <v>643</v>
      </c>
      <c r="B23" s="223">
        <f t="shared" ref="B23" si="343">Loa/0.3048</f>
        <v>41.99475065616798</v>
      </c>
      <c r="C23" s="14" t="s">
        <v>22</v>
      </c>
      <c r="G23" s="56" t="s">
        <v>30</v>
      </c>
      <c r="H23" s="209"/>
      <c r="I23" s="126" t="str">
        <f>A23</f>
        <v>Frøya</v>
      </c>
      <c r="J23" s="229"/>
      <c r="K23" s="119"/>
      <c r="L23" s="119"/>
      <c r="M23" s="95"/>
      <c r="N23" s="265"/>
      <c r="O23" s="169"/>
      <c r="P23" s="169">
        <v>31</v>
      </c>
      <c r="Q23" s="169">
        <v>26</v>
      </c>
      <c r="R23" s="169">
        <v>23.5</v>
      </c>
      <c r="S23" s="181">
        <v>18.600000000000001</v>
      </c>
      <c r="T23" s="169">
        <v>23.5</v>
      </c>
      <c r="U23" s="169">
        <v>58</v>
      </c>
      <c r="V23" s="181">
        <f>StorS-StorS/6</f>
        <v>48.333333333333336</v>
      </c>
      <c r="W23" s="181">
        <f>StorS-StorS/6*1.9</f>
        <v>39.63333333333334</v>
      </c>
      <c r="X23" s="169"/>
      <c r="Y23" s="169">
        <v>13.5</v>
      </c>
      <c r="Z23" s="169"/>
      <c r="AA23" s="169"/>
      <c r="AB23" s="169"/>
      <c r="AC23" s="169"/>
      <c r="AD23" s="169"/>
      <c r="AE23" s="270">
        <v>11.6</v>
      </c>
      <c r="AF23" s="296"/>
      <c r="AG23" s="377"/>
      <c r="AH23" s="296"/>
      <c r="AI23" s="377"/>
      <c r="AJ23" s="296" t="s">
        <v>237</v>
      </c>
      <c r="AK23" s="47">
        <f>VLOOKUP(AJ23,Skrogform!$1:$1048576,3,FALSE)</f>
        <v>0.98</v>
      </c>
      <c r="AL23" s="57">
        <v>12.8</v>
      </c>
      <c r="AM23" s="57">
        <v>11.1</v>
      </c>
      <c r="AN23" s="57">
        <v>3.9</v>
      </c>
      <c r="AO23" s="57">
        <v>2.14</v>
      </c>
      <c r="AP23" s="57">
        <v>18</v>
      </c>
      <c r="AQ23" s="57">
        <v>6.2</v>
      </c>
      <c r="AR23" s="57"/>
      <c r="AS23" s="281">
        <v>68</v>
      </c>
      <c r="AT23" s="281">
        <v>480</v>
      </c>
      <c r="AU23" s="281">
        <v>120</v>
      </c>
      <c r="AV23" s="281">
        <v>140</v>
      </c>
      <c r="AW23" s="270">
        <f>Depl+Diesel/1000+Vann/1000</f>
        <v>18.260000000000002</v>
      </c>
      <c r="AX23" s="281"/>
      <c r="AY23" s="98">
        <f>Bredde/(Loa+Lwl)*2</f>
        <v>0.32635983263598328</v>
      </c>
      <c r="AZ23" s="98">
        <f>(Kjøl+Ballast)/Depl</f>
        <v>0.34444444444444444</v>
      </c>
      <c r="BA23" s="288">
        <f>BA$7*((Depl-Kjøl-Ballast-VektMotor/1000-VektAnnet/1000)/Loa/Lwl/Bredde)</f>
        <v>0.88392411952443117</v>
      </c>
      <c r="BB23" s="98">
        <f>BB$7*(Depl/Loa/Lwl/Lwl)</f>
        <v>0.85704719387755124</v>
      </c>
      <c r="BC23" s="178">
        <f>BC$7*(Depl/Loa/Lwl/Bredde)</f>
        <v>0.90164467229199408</v>
      </c>
      <c r="BD23" s="98">
        <f>BD$7*Bredde/(Loa+Lwl)*2</f>
        <v>0.93100283439060605</v>
      </c>
      <c r="BE23" s="98">
        <f>BE$7*(Dypg/Lwl)</f>
        <v>1.0544927536231885</v>
      </c>
      <c r="BF23" s="58" t="s">
        <v>24</v>
      </c>
      <c r="BG23" s="296">
        <v>3</v>
      </c>
      <c r="BH23" s="302">
        <v>62</v>
      </c>
      <c r="BI23" s="47">
        <f t="shared" si="200"/>
        <v>1</v>
      </c>
      <c r="BJ23" s="61"/>
      <c r="BK23" s="61"/>
      <c r="BM23" s="214"/>
      <c r="BN23" s="214" t="str">
        <f>$A23</f>
        <v>Frøya</v>
      </c>
      <c r="BO23" s="10"/>
      <c r="BP23" s="10"/>
      <c r="BQ23" s="10"/>
      <c r="BR23" s="10"/>
      <c r="BS23" s="52"/>
      <c r="BT23" s="214" t="str">
        <f>$A23</f>
        <v>Frøya</v>
      </c>
      <c r="BU23" s="10"/>
      <c r="BV23" s="10"/>
      <c r="BW23" s="10"/>
      <c r="BX23" s="10"/>
      <c r="BY23" s="10"/>
      <c r="BZ23" s="10"/>
      <c r="CA23" s="10"/>
      <c r="CB23" s="10"/>
      <c r="CC23" s="10"/>
      <c r="CD23" s="214"/>
      <c r="CE23" s="10"/>
      <c r="CF23" s="214" t="str">
        <f>$A23</f>
        <v>Frøya</v>
      </c>
      <c r="CG23" s="212"/>
      <c r="CH23" s="212"/>
      <c r="CI23" s="119"/>
      <c r="CJ23" s="212"/>
      <c r="CK23" s="208"/>
      <c r="CL23" s="208" t="s">
        <v>26</v>
      </c>
      <c r="CM23" s="110" t="str">
        <f t="shared" si="234"/>
        <v>-</v>
      </c>
      <c r="CN23" s="64" t="str">
        <f>IF(SeilBeregnet=0,"-",(SeilBeregnet)^(1/2)*StHfaktor/(Depl+DeplTillegg/1000+Vann/1000+Diesel/1000*0.84)^(1/3))</f>
        <v>-</v>
      </c>
      <c r="CO23" s="64" t="str">
        <f t="shared" si="203"/>
        <v>-</v>
      </c>
      <c r="CP23" s="64" t="str">
        <f t="shared" si="204"/>
        <v>-</v>
      </c>
      <c r="CQ23" s="110" t="str">
        <f t="shared" si="205"/>
        <v>-</v>
      </c>
      <c r="CR23" s="172">
        <f t="shared" si="235"/>
        <v>1.056</v>
      </c>
      <c r="CS23" s="162">
        <v>1.02</v>
      </c>
      <c r="CT23" s="172" t="str">
        <f t="shared" si="236"/>
        <v>-</v>
      </c>
      <c r="CU23" s="164">
        <v>1.3</v>
      </c>
      <c r="CV23" s="195" t="s">
        <v>145</v>
      </c>
      <c r="CW23" s="30" t="s">
        <v>26</v>
      </c>
      <c r="CX23" s="30" t="s">
        <v>26</v>
      </c>
      <c r="CY23" s="30" t="s">
        <v>26</v>
      </c>
      <c r="CZ23" s="153">
        <v>2022</v>
      </c>
      <c r="DA23" s="64" t="str">
        <f t="shared" si="210"/>
        <v>-</v>
      </c>
      <c r="DB23" s="49">
        <f t="shared" si="206"/>
        <v>13.375</v>
      </c>
      <c r="DC23" s="50">
        <f t="shared" si="207"/>
        <v>0</v>
      </c>
      <c r="DE23" s="110" t="str">
        <f>IF(SeilBeregnet=0,"-",DE$7*(DG:DG+DE$6)*DL:DL*PropF+ErfaringsF+Dyp_F)</f>
        <v>-</v>
      </c>
      <c r="DF23" s="144" t="str">
        <f t="shared" si="257"/>
        <v>-</v>
      </c>
      <c r="DG23" s="110">
        <f t="shared" si="208"/>
        <v>4.4185769001480573</v>
      </c>
      <c r="DH23" s="136">
        <f>IF(SeilBeregnet=0,DH102,(SeilBeregnet^0.5/(Depl^0.3333))^DH$3*DH$7)</f>
        <v>2.7537228133179887</v>
      </c>
      <c r="DI23" s="136">
        <f>IF(SeilBeregnet=0,DI102,(SeilBeregnet^0.5/Lwl)^DI$3*DI$7)</f>
        <v>0</v>
      </c>
      <c r="DJ23" s="136">
        <f>IF(SeilBeregnet=0,DJ102,(0.1*Loa/Depl^0.3333)^DJ$3*DJ$7)</f>
        <v>0</v>
      </c>
      <c r="DK23" s="136">
        <f>IF(SeilBeregnet=0,DK102,((Loa)/Bredde)^DK$3*DK$7)</f>
        <v>1.664854086830069</v>
      </c>
      <c r="DL23" s="110">
        <f>IF(SeilBeregnet=0,DL102,(Lwl)^DL$3)</f>
        <v>1.8374951981506853</v>
      </c>
      <c r="DM23" s="136">
        <f>IF(SeilBeregnet=0,DM102,(Dypg/Loa)^DM$3*5*DM$7)</f>
        <v>2.0291986247835694</v>
      </c>
      <c r="DO23" s="110" t="str">
        <f t="shared" ref="DO23:DO236" si="344">IF(SeilBeregnet=0,"-",Skaleringsfaktor*(1*(LBf+SaDeplf)*Lf*PropF+Strikkf2)+ErfaringsF+Dyp_F)</f>
        <v>-</v>
      </c>
      <c r="DP23" s="110" t="str">
        <f t="shared" si="211"/>
        <v>-</v>
      </c>
      <c r="DR23" s="110" t="str">
        <f t="shared" si="212"/>
        <v>-</v>
      </c>
      <c r="DS23" s="125" t="str">
        <f t="shared" si="259"/>
        <v>-</v>
      </c>
      <c r="DT23" s="110" t="str">
        <f t="shared" si="213"/>
        <v>-</v>
      </c>
      <c r="DU23" s="125" t="str">
        <f t="shared" si="260"/>
        <v>-</v>
      </c>
      <c r="DV23" s="110">
        <f>IF(SeilBeregnet=0,DV102,SeilBeregnet^0.5/Depl^0.33333)</f>
        <v>2.7534674689337537</v>
      </c>
      <c r="DW23" s="110">
        <f>IF(SeilBeregnet=0,DW102,Lwl^0.3333)</f>
        <v>2.2504345510197821</v>
      </c>
      <c r="DX23" s="110">
        <f>IF(SeilBeregnet=0,DX102,((Loa+Lwl)/Bredde)^DX$3)</f>
        <v>1.5137000520175456</v>
      </c>
      <c r="DZ23" s="110" t="str">
        <f t="shared" si="216"/>
        <v>-</v>
      </c>
      <c r="EB23" s="110">
        <f>IF(SeilBeregnet=0,EB102,SeilBeregnet^0.5/Depl^0.33333)</f>
        <v>2.7534674689337537</v>
      </c>
      <c r="EC23" s="110">
        <f>IF(SeilBeregnet=0,EC102,Lwl^EC$3)</f>
        <v>2.250598857644956</v>
      </c>
      <c r="ED23" s="110">
        <f>IF(SeilBeregnet=0,ED102,((Loa+Lwl)/Bredde)^ED$3)</f>
        <v>1.7379172576819111</v>
      </c>
      <c r="EE23" s="110" t="str">
        <f t="shared" si="218"/>
        <v>-</v>
      </c>
      <c r="EG23" s="110">
        <f>IF(SeilBeregnet=0,EG102,(EH23*EI23)^EG$3)</f>
        <v>4.1679238509536427</v>
      </c>
      <c r="EH23" s="110">
        <f>IF(SeilBeregnet=0,EH102,SeilBeregnet^0.5/Depl^0.33333)</f>
        <v>2.7534674689337537</v>
      </c>
      <c r="EI23" s="110">
        <f>IF(SeilBeregnet=0,EI102,((Loa+Lwl)/Bredde)^EI$3)</f>
        <v>1.5137000520175456</v>
      </c>
      <c r="EJ23" s="110">
        <f>IF(SeilBeregnet=0,EJ102,Lwl^EJ$3)</f>
        <v>1.8374951981506853</v>
      </c>
      <c r="EK23" s="110" t="str">
        <f>IF(SeilBeregnet=0,"-",EK$7*(EK$4*EM:EM+EK$6)*EP:EP*PropF+ErfaringsF+Dyp_F)</f>
        <v>-</v>
      </c>
      <c r="EM23" s="110">
        <f>IF(SeilBeregnet=0,EM102,(EN:EN*EO:EO)^EM$3)</f>
        <v>1.6318903773202409</v>
      </c>
      <c r="EN23" s="110">
        <f>IF(SeilBeregnet=0,EN102,SeilBeregnet^0.5/Depl^0.33333)</f>
        <v>2.7534674689337537</v>
      </c>
      <c r="EO23" s="110">
        <f>IF(SeilBeregnet=0,EO102,((Loa+Lwl)/Bredde/6)^EO$3)</f>
        <v>0.96716821013383469</v>
      </c>
      <c r="EP23" s="110">
        <f>IF(SeilBeregnet=0,EP102,(Lwl*0.7+Loa*0.3)^EP$3)</f>
        <v>1.8536020361776409</v>
      </c>
      <c r="EQ23" s="110" t="str">
        <f>IF(SeilBeregnet=0,"-",EQ$7*(ES:ES+EQ$6)*EV:EV*PropF+ErfaringsF+Dyp_F)</f>
        <v>-</v>
      </c>
      <c r="ES23" s="110">
        <f>(ET:ET*EU:EU)^ES$3</f>
        <v>1.6319660427108975</v>
      </c>
      <c r="ET23" s="110">
        <f>IF(SeilBeregnet=0,ET102,SeilBeregnet^0.5/Depl^0.3333)</f>
        <v>2.7537228133179887</v>
      </c>
      <c r="EU23" s="110">
        <f>IF(SeilBeregnet=0,EU102,((Loa+Lwl)/Bredde/6)^EU$3)</f>
        <v>0.96716821013383469</v>
      </c>
      <c r="EV23" s="110">
        <f>IF(SeilBeregnet=0,EV102,(Lwl*0.7+Loa*0.3)^EV$3)</f>
        <v>1.8536020361776409</v>
      </c>
      <c r="EW23" s="110" t="str">
        <f>IF(SeilBeregnet=0,"-",EW$7*(EY:EY+EW$6)*FB:FB*PropF+ErfaringsF+Dyp_F)</f>
        <v>-</v>
      </c>
      <c r="EX23" s="144" t="str">
        <f t="shared" si="261"/>
        <v>-</v>
      </c>
      <c r="EY23" s="110">
        <f>(EZ:EZ*FA:FA)^EY$3</f>
        <v>2.5758718263947928</v>
      </c>
      <c r="EZ23" s="136">
        <f>IF(SeilBeregnet=0,EZ102,(SeilBeregnet^0.5/(Depl^0.3333))^EZ$3)</f>
        <v>2.7537228133179887</v>
      </c>
      <c r="FA23" s="136">
        <f>IF(SeilBeregnet=0,FA102,((Loa+Lwl)/Bredde/6)^FA$3)</f>
        <v>0.93541434669348533</v>
      </c>
      <c r="FB23" s="110">
        <f>IF(SeilBeregnet=0,FB102,(Lwl*0.07+Loa*0.03)^FB$3)</f>
        <v>1.0423570253996639</v>
      </c>
      <c r="FC23" s="110" t="str">
        <f>IF(SeilBeregnet=0,"-",FC$7*(FE:FE+FC$6)*FI:FI*PropF+ErfaringsF+Dyp_F)</f>
        <v>-</v>
      </c>
      <c r="FD23" s="144" t="str">
        <f t="shared" si="262"/>
        <v>-</v>
      </c>
      <c r="FE23" s="110">
        <f>(FF:FF+FG:FG+FH:FH)^FE$3+FE$7</f>
        <v>4.5953527465861121</v>
      </c>
      <c r="FF23" s="136">
        <f>IF(SeilBeregnet=0,FF102,(SeilBeregnet^0.5/(Depl^0.3333))^FF$3)</f>
        <v>2.7537228133179887</v>
      </c>
      <c r="FG23" s="136">
        <f>IF(SeilBeregnet=0,FG102,(SeilBeregnet^0.5/Lwl*FG$7)^FG$3)</f>
        <v>0.67677584643805455</v>
      </c>
      <c r="FH23" s="136">
        <f>IF(SeilBeregnet=0,FH102,((Loa)/Bredde)^FH$3*FH$7)</f>
        <v>1.664854086830069</v>
      </c>
      <c r="FI23" s="110">
        <f>IF(SeilBeregnet=0,FI102,(Lwl)^FI$3)</f>
        <v>1.8374951981506853</v>
      </c>
      <c r="FJ23" s="110" t="str">
        <f>IF(SeilBeregnet=0,"-",FJ$7*(FL:FL+FJ$6)*FO:FO*PropF+ErfaringsF+Dyp_F)</f>
        <v>-</v>
      </c>
      <c r="FK23" s="144" t="str">
        <f t="shared" si="263"/>
        <v>-</v>
      </c>
      <c r="FL23" s="110">
        <f>(FM:FM*FN:FN)^FL$3</f>
        <v>4.584546679749649</v>
      </c>
      <c r="FM23" s="136">
        <f>IF(SeilBeregnet=0,FM102,(SeilBeregnet^0.5/(Depl^0.3333))^FM$3)</f>
        <v>2.7537228133179887</v>
      </c>
      <c r="FN23" s="136">
        <f>IF(SeilBeregnet=0,FN102,(Loa/Bredde)^FN$3)</f>
        <v>1.664854086830069</v>
      </c>
      <c r="FO23" s="110">
        <f>IF(SeilBeregnet=0,FO102,Lwl^FO$3)</f>
        <v>1.8374951981506853</v>
      </c>
      <c r="FQ23">
        <v>0.95</v>
      </c>
      <c r="FR23" s="64" t="str">
        <f t="shared" si="264"/>
        <v>-</v>
      </c>
      <c r="FS23" s="480" t="s">
        <v>496</v>
      </c>
      <c r="FT23" s="59" t="s">
        <v>445</v>
      </c>
      <c r="FU23" s="475" t="s">
        <v>459</v>
      </c>
      <c r="FV23" s="507" t="s">
        <v>449</v>
      </c>
      <c r="FW23" s="59" t="s">
        <v>450</v>
      </c>
      <c r="FX23" s="59" t="s">
        <v>456</v>
      </c>
      <c r="FY23" s="59" t="s">
        <v>455</v>
      </c>
      <c r="FZ23" s="59" t="s">
        <v>454</v>
      </c>
      <c r="GB23" s="59" t="s">
        <v>522</v>
      </c>
      <c r="GC23" s="475" t="s">
        <v>522</v>
      </c>
      <c r="GD23" s="60" t="s">
        <v>522</v>
      </c>
      <c r="GE23" s="60" t="s">
        <v>522</v>
      </c>
      <c r="GF23" s="60" t="s">
        <v>522</v>
      </c>
      <c r="GG23" s="60" t="s">
        <v>522</v>
      </c>
      <c r="GI23" s="59" t="s">
        <v>648</v>
      </c>
      <c r="GJ23" s="59" t="s">
        <v>636</v>
      </c>
      <c r="GK23" s="59" t="s">
        <v>645</v>
      </c>
      <c r="GL23" s="59" t="s">
        <v>509</v>
      </c>
      <c r="GM23" s="59">
        <v>1984</v>
      </c>
      <c r="GN23" s="59" t="s">
        <v>512</v>
      </c>
      <c r="GO23" s="59" t="s">
        <v>640</v>
      </c>
      <c r="GP23" s="59" t="s">
        <v>522</v>
      </c>
    </row>
    <row r="24" spans="1:198" ht="15.6" x14ac:dyDescent="0.3">
      <c r="A24" s="62" t="s">
        <v>31</v>
      </c>
      <c r="B24" s="223"/>
      <c r="C24" s="63" t="str">
        <f>C23</f>
        <v>Gaffel</v>
      </c>
      <c r="D24" s="63"/>
      <c r="E24" s="63"/>
      <c r="F24" s="63"/>
      <c r="G24" s="56"/>
      <c r="H24" s="209">
        <f>TBFavrundet</f>
        <v>106</v>
      </c>
      <c r="I24" s="65">
        <f>COUNTA(O24:AD24)</f>
        <v>4</v>
      </c>
      <c r="J24" s="228">
        <f>SUM(O24:AD24)</f>
        <v>126</v>
      </c>
      <c r="K24" s="119">
        <f>Seilareal/Depl^0.667/K$7</f>
        <v>1.675741963055162</v>
      </c>
      <c r="L24" s="119">
        <f>Seilareal/Lwl/Lwl/L$7</f>
        <v>1.5516778523489934</v>
      </c>
      <c r="M24" s="95">
        <f>RiggF</f>
        <v>0.79841269841269846</v>
      </c>
      <c r="N24" s="265">
        <f>StHfaktor</f>
        <v>1.0055226928764704</v>
      </c>
      <c r="O24" s="147"/>
      <c r="P24" s="169">
        <v>31</v>
      </c>
      <c r="Q24" s="147"/>
      <c r="R24" s="147"/>
      <c r="S24" s="147"/>
      <c r="T24" s="169">
        <v>23.5</v>
      </c>
      <c r="U24" s="169">
        <v>58</v>
      </c>
      <c r="V24" s="148"/>
      <c r="W24" s="148"/>
      <c r="X24" s="148"/>
      <c r="Y24" s="169">
        <v>13.5</v>
      </c>
      <c r="Z24" s="147"/>
      <c r="AA24" s="147"/>
      <c r="AB24" s="147"/>
      <c r="AC24" s="147"/>
      <c r="AD24" s="147"/>
      <c r="AE24" s="260">
        <f t="shared" ref="AE24:AE26" si="345">AE23</f>
        <v>11.6</v>
      </c>
      <c r="AF24" s="375">
        <f t="shared" ref="AF24:AH24" si="346" xml:space="preserve"> AF23</f>
        <v>0</v>
      </c>
      <c r="AG24" s="377"/>
      <c r="AH24" s="375">
        <f t="shared" si="346"/>
        <v>0</v>
      </c>
      <c r="AI24" s="377"/>
      <c r="AJ24" s="295" t="str">
        <f t="shared" ref="AJ24" si="347" xml:space="preserve"> AJ23</f>
        <v>Lystb</v>
      </c>
      <c r="AK24" s="47">
        <f>VLOOKUP(AJ24,Skrogform!$1:$1048576,3,FALSE)</f>
        <v>0.98</v>
      </c>
      <c r="AL24" s="66">
        <f t="shared" ref="AL24:AR24" si="348">AL23</f>
        <v>12.8</v>
      </c>
      <c r="AM24" s="66">
        <f t="shared" si="348"/>
        <v>11.1</v>
      </c>
      <c r="AN24" s="66">
        <f t="shared" si="348"/>
        <v>3.9</v>
      </c>
      <c r="AO24" s="66">
        <f t="shared" si="348"/>
        <v>2.14</v>
      </c>
      <c r="AP24" s="66">
        <f t="shared" si="348"/>
        <v>18</v>
      </c>
      <c r="AQ24" s="66">
        <f t="shared" si="348"/>
        <v>6.2</v>
      </c>
      <c r="AR24" s="66">
        <f t="shared" si="348"/>
        <v>0</v>
      </c>
      <c r="AS24" s="284">
        <f>AS23</f>
        <v>68</v>
      </c>
      <c r="AT24" s="284">
        <f>AT23</f>
        <v>480</v>
      </c>
      <c r="AU24" s="284">
        <f>AU23</f>
        <v>120</v>
      </c>
      <c r="AV24" s="284">
        <f>AV23</f>
        <v>140</v>
      </c>
      <c r="AW24" s="284"/>
      <c r="AX24" s="284">
        <f>AX23</f>
        <v>0</v>
      </c>
      <c r="AY24" s="68"/>
      <c r="AZ24" s="68"/>
      <c r="BA24" s="289"/>
      <c r="BB24" s="68"/>
      <c r="BC24" s="179"/>
      <c r="BD24" s="68"/>
      <c r="BE24" s="68"/>
      <c r="BF24" s="67" t="str">
        <f t="shared" ref="BF24:BH24" si="349" xml:space="preserve"> BF23</f>
        <v>Seilrett</v>
      </c>
      <c r="BG24" s="295">
        <f t="shared" si="349"/>
        <v>3</v>
      </c>
      <c r="BH24" s="295">
        <f t="shared" si="349"/>
        <v>62</v>
      </c>
      <c r="BI24" s="47">
        <f t="shared" si="200"/>
        <v>1</v>
      </c>
      <c r="BJ24" s="61"/>
      <c r="BK24" s="61"/>
      <c r="BM24" s="51">
        <f t="shared" ref="BM24:BR26" si="350">IF(O24=0,0,O24*BM$9)</f>
        <v>0</v>
      </c>
      <c r="BN24" s="51">
        <f t="shared" si="350"/>
        <v>31</v>
      </c>
      <c r="BO24" s="51">
        <f t="shared" si="350"/>
        <v>0</v>
      </c>
      <c r="BP24" s="51">
        <f t="shared" si="350"/>
        <v>0</v>
      </c>
      <c r="BQ24" s="51">
        <f t="shared" si="350"/>
        <v>0</v>
      </c>
      <c r="BR24" s="51">
        <f t="shared" si="350"/>
        <v>23.5</v>
      </c>
      <c r="BS24" s="52">
        <f>IF(COUNT(P24:T24)&gt;1,MINA(P24:T24)*BS$9,0)</f>
        <v>-7.05</v>
      </c>
      <c r="BT24" s="88">
        <f t="shared" ref="BT24:CC26" si="351">IF(U24=0,0,U24*BT$9)</f>
        <v>46.400000000000006</v>
      </c>
      <c r="BU24" s="88">
        <f t="shared" si="351"/>
        <v>0</v>
      </c>
      <c r="BV24" s="88">
        <f t="shared" si="351"/>
        <v>0</v>
      </c>
      <c r="BW24" s="88">
        <f t="shared" si="351"/>
        <v>0</v>
      </c>
      <c r="BX24" s="88">
        <f t="shared" si="351"/>
        <v>6.75</v>
      </c>
      <c r="BY24" s="88">
        <f t="shared" si="351"/>
        <v>0</v>
      </c>
      <c r="BZ24" s="88">
        <f t="shared" si="351"/>
        <v>0</v>
      </c>
      <c r="CA24" s="88">
        <f t="shared" si="351"/>
        <v>0</v>
      </c>
      <c r="CB24" s="88">
        <f t="shared" si="351"/>
        <v>0</v>
      </c>
      <c r="CC24" s="88">
        <f t="shared" si="351"/>
        <v>0</v>
      </c>
      <c r="CD24" s="103">
        <f>SUM(BM24:CC24)</f>
        <v>100.60000000000001</v>
      </c>
      <c r="CE24" s="52"/>
      <c r="CF24" s="107">
        <f>J24</f>
        <v>126</v>
      </c>
      <c r="CG24" s="104">
        <f t="shared" ref="CG24:CG26" si="352">CD24/CF24</f>
        <v>0.79841269841269846</v>
      </c>
      <c r="CH24" s="53">
        <f>Seilareal/Lwl/Lwl</f>
        <v>1.0226442658875092</v>
      </c>
      <c r="CI24" s="119">
        <f>Seilareal/Depl^0.667/K$7</f>
        <v>1.675741963055162</v>
      </c>
      <c r="CJ24" s="53">
        <f>Seilareal/Lwl/Lwl/SApRS1</f>
        <v>1.5516778523489934</v>
      </c>
      <c r="CK24" s="209"/>
      <c r="CL24" s="209">
        <f>(ROUND(TBF/CL$6,3)*CL$6)*CL$4</f>
        <v>106</v>
      </c>
      <c r="CM24" s="110">
        <f t="shared" si="234"/>
        <v>1.0607412698628937</v>
      </c>
      <c r="CN24" s="64">
        <f>IF(SeilBeregnet=0,"-",(SeilBeregnet)^(1/2)*StHfaktor/(Depl+DeplTillegg/1000+Vann/1000+Diesel/1000*0.84)^(1/3))</f>
        <v>3.8175910491289864</v>
      </c>
      <c r="CO24" s="64">
        <f t="shared" si="203"/>
        <v>1.7504578155735613</v>
      </c>
      <c r="CP24" s="64">
        <f t="shared" si="204"/>
        <v>1.8252852516227529</v>
      </c>
      <c r="CQ24" s="110">
        <f t="shared" si="205"/>
        <v>1.0055226928764704</v>
      </c>
      <c r="CR24" s="172">
        <f t="shared" si="235"/>
        <v>1.056</v>
      </c>
      <c r="CS24" s="163">
        <f>CS23</f>
        <v>1.02</v>
      </c>
      <c r="CT24" s="172">
        <f t="shared" si="236"/>
        <v>1.0035087719298248</v>
      </c>
      <c r="CU24" s="163">
        <f>CU23</f>
        <v>1.3</v>
      </c>
      <c r="CV24" s="195" t="s">
        <v>145</v>
      </c>
      <c r="CW24" s="64">
        <v>1.02</v>
      </c>
      <c r="CX24" s="64">
        <v>0.96</v>
      </c>
      <c r="CY24" s="64">
        <v>1.03</v>
      </c>
      <c r="CZ24" s="154">
        <v>1.05</v>
      </c>
      <c r="DA24" s="64">
        <f t="shared" si="210"/>
        <v>2.0978443255134516</v>
      </c>
      <c r="DB24" s="49">
        <f t="shared" si="206"/>
        <v>13.375</v>
      </c>
      <c r="DC24" s="50">
        <f t="shared" si="207"/>
        <v>0</v>
      </c>
      <c r="DE24" s="110">
        <f>IF(SeilBeregnet=0,"-",DE$7*(DG:DG+DE$6)*DL:DL*PropF+ErfaringsF+Dyp_F)</f>
        <v>1.0395999267674048</v>
      </c>
      <c r="DF24" s="145">
        <f t="shared" si="257"/>
        <v>-4.2789124113099097</v>
      </c>
      <c r="DG24" s="110">
        <f t="shared" si="208"/>
        <v>5.6391561662510199</v>
      </c>
      <c r="DH24" s="136">
        <f>IF(SeilBeregnet=0,DH23,(SeilBeregnet^0.5/(Depl^0.3333))^DH$3*DH$7)</f>
        <v>3.8275129116196664</v>
      </c>
      <c r="DI24" s="136">
        <f>IF(SeilBeregnet=0,DI23,(SeilBeregnet^0.5/Lwl)^DI$3*DI$7)</f>
        <v>0</v>
      </c>
      <c r="DJ24" s="136">
        <f>IF(SeilBeregnet=0,DJ23,(0.1*Loa/Depl^0.3333)^DJ$3*DJ$7)</f>
        <v>0</v>
      </c>
      <c r="DK24" s="136">
        <f>IF(SeilBeregnet=0,DK23,((Loa)/Bredde)^DK$3*DK$7)</f>
        <v>1.8116432546313532</v>
      </c>
      <c r="DL24" s="110">
        <f>IF(SeilBeregnet=0,DL23,(Lwl)^DL$3)</f>
        <v>1.8252852516227529</v>
      </c>
      <c r="DM24" s="136">
        <f>IF(SeilBeregnet=0,DM23,(Dypg/Loa)^DM$3*5*DM$7)</f>
        <v>2.0444284042245155</v>
      </c>
      <c r="DO24" s="74">
        <f t="shared" si="344"/>
        <v>1.0823890508805039</v>
      </c>
      <c r="DP24" s="110">
        <f t="shared" si="211"/>
        <v>1.0563430701364369</v>
      </c>
      <c r="DQ24" s="125">
        <f>DP24-DO24</f>
        <v>-2.6045980744066943E-2</v>
      </c>
      <c r="DR24" s="110">
        <f t="shared" si="212"/>
        <v>1.029665774714037</v>
      </c>
      <c r="DS24" s="125">
        <f t="shared" si="259"/>
        <v>-5.2723276166466881E-2</v>
      </c>
      <c r="DT24" s="110">
        <f t="shared" si="213"/>
        <v>1.0672979135115364</v>
      </c>
      <c r="DU24" s="125">
        <f t="shared" si="260"/>
        <v>-1.50911373689675E-2</v>
      </c>
      <c r="DV24" s="110">
        <f t="shared" ref="DV24:DV26" si="353">IF(SeilBeregnet=0,DV23,SeilBeregnet^0.5/Depl^0.33333)</f>
        <v>3.8271810379517661</v>
      </c>
      <c r="DW24" s="110">
        <f t="shared" ref="DW24:DW26" si="354">IF(SeilBeregnet=0,DW23,Lwl^0.3333)</f>
        <v>2.2305201393117833</v>
      </c>
      <c r="DX24" s="110">
        <f t="shared" ref="DX24:DX26" si="355">IF(SeilBeregnet=0,DX23,((Loa+Lwl)/Bredde)^DX$3)</f>
        <v>1.5733789064132366</v>
      </c>
      <c r="DZ24" s="110">
        <f t="shared" si="216"/>
        <v>1.0527672882973111</v>
      </c>
      <c r="EB24" s="110">
        <f t="shared" ref="EB24:EB26" si="356">IF(SeilBeregnet=0,EB23,SeilBeregnet^0.5/Depl^0.33333)</f>
        <v>3.8271810379517661</v>
      </c>
      <c r="EC24" s="110">
        <f t="shared" ref="EC24:EC26" si="357">IF(SeilBeregnet=0,EC23,Lwl^EC$3)</f>
        <v>2.2306812073130904</v>
      </c>
      <c r="ED24" s="110">
        <f t="shared" ref="ED24:ED26" si="358">IF(SeilBeregnet=0,ED23,((Loa+Lwl)/Bredde)^ED$3)</f>
        <v>1.8298613614330996</v>
      </c>
      <c r="EE24" s="110">
        <f t="shared" si="218"/>
        <v>1.0541084334060262</v>
      </c>
      <c r="EG24" s="110">
        <f t="shared" ref="EG24:EG26" si="359">IF(SeilBeregnet=0,EG23,(EH24*EI24)^EG$3)</f>
        <v>6.021605916138026</v>
      </c>
      <c r="EH24" s="110">
        <f t="shared" ref="EH24:EH26" si="360">IF(SeilBeregnet=0,EH23,SeilBeregnet^0.5/Depl^0.33333)</f>
        <v>3.8271810379517661</v>
      </c>
      <c r="EI24" s="110">
        <f t="shared" ref="EI24:EI26" si="361">IF(SeilBeregnet=0,EI23,((Loa+Lwl)/Bredde)^EI$3)</f>
        <v>1.5733789064132366</v>
      </c>
      <c r="EJ24" s="110">
        <f t="shared" ref="EJ24:EJ26" si="362">IF(SeilBeregnet=0,EJ23,Lwl^EJ$3)</f>
        <v>1.8252852516227529</v>
      </c>
      <c r="EK24" s="110">
        <f>IF(SeilBeregnet=0,"-",EK$7*(EK$4*EM:EM+EK$6)*EP:EP*PropF+ErfaringsF+Dyp_F)</f>
        <v>1.0474465038120346</v>
      </c>
      <c r="EM24" s="110">
        <f>IF(SeilBeregnet=0,EM23,(EN:EN*EO:EO)^EM$3)</f>
        <v>1.9614952400158787</v>
      </c>
      <c r="EN24" s="110">
        <f t="shared" ref="EN24:EN26" si="363">IF(SeilBeregnet=0,EN23,SeilBeregnet^0.5/Depl^0.33333)</f>
        <v>3.8271810379517661</v>
      </c>
      <c r="EO24" s="110">
        <f t="shared" ref="EO24:EO26" si="364">IF(SeilBeregnet=0,EO23,((Loa+Lwl)/Bredde/6)^EO$3)</f>
        <v>1.0052996026192789</v>
      </c>
      <c r="EP24" s="110">
        <f t="shared" ref="EP24:EP26" si="365">IF(SeilBeregnet=0,EP23,(Lwl*0.7+Loa*0.3)^EP$3)</f>
        <v>1.8458995117503456</v>
      </c>
      <c r="EQ24" s="110">
        <f>IF(SeilBeregnet=0,"-",EQ$7*(ES:ES+EQ$6)*EV:EV*PropF+ErfaringsF+Dyp_F)</f>
        <v>0.99081393346082958</v>
      </c>
      <c r="ES24" s="110">
        <f>(ET:ET*EU:EU)^ES$3</f>
        <v>1.9615802836160976</v>
      </c>
      <c r="ET24" s="110">
        <f t="shared" ref="ET24:ET26" si="366">IF(SeilBeregnet=0,ET23,SeilBeregnet^0.5/Depl^0.3333)</f>
        <v>3.8275129116196664</v>
      </c>
      <c r="EU24" s="110">
        <f t="shared" ref="EU24:EU26" si="367">IF(SeilBeregnet=0,EU23,((Loa+Lwl)/Bredde/6)^EU$3)</f>
        <v>1.0052996026192789</v>
      </c>
      <c r="EV24" s="110">
        <f t="shared" ref="EV24:EV26" si="368">IF(SeilBeregnet=0,EV23,(Lwl*0.7+Loa*0.3)^EV$3)</f>
        <v>1.8458995117503456</v>
      </c>
      <c r="EW24" s="110">
        <f>IF(SeilBeregnet=0,"-",EW$7*(EY:EY+EW$6)*FB:FB*PropF+ErfaringsF+Dyp_F)</f>
        <v>1.0416174781645287</v>
      </c>
      <c r="EX24" s="144">
        <f t="shared" si="261"/>
        <v>-4.0771572715975202</v>
      </c>
      <c r="EY24" s="110">
        <f>(EZ:EZ*FA:FA)^EY$3</f>
        <v>3.8681890052390582</v>
      </c>
      <c r="EZ24" s="136">
        <f t="shared" ref="EZ24:EZ26" si="369">IF(SeilBeregnet=0,EZ23,(SeilBeregnet^0.5/(Depl^0.3333))^EZ$3)</f>
        <v>3.8275129116196664</v>
      </c>
      <c r="FA24" s="136">
        <f t="shared" ref="FA24:FA26" si="370">IF(SeilBeregnet=0,FA23,((Loa+Lwl)/Bredde/6)^FA$3)</f>
        <v>1.01062729102648</v>
      </c>
      <c r="FB24" s="110">
        <f t="shared" ref="FB24:FB26" si="371">IF(SeilBeregnet=0,FB23,(Lwl*0.07+Loa*0.03)^FB$3)</f>
        <v>1.0380255776059077</v>
      </c>
      <c r="FC24" s="110">
        <f>IF(SeilBeregnet=0,"-",FC$7*(FE:FE+FC$6)*FI:FI*PropF+ErfaringsF+Dyp_F)</f>
        <v>1.0588562792953331</v>
      </c>
      <c r="FD24" s="144">
        <f t="shared" si="262"/>
        <v>-2.3532771585170753</v>
      </c>
      <c r="FE24" s="110">
        <f>(FF:FF+FG:FG+FH:FH)^FE$3+FE$7</f>
        <v>6.0427557279173145</v>
      </c>
      <c r="FF24" s="136">
        <f t="shared" ref="FF24:FF26" si="372">IF(SeilBeregnet=0,FF23,(SeilBeregnet^0.5/(Depl^0.3333))^FF$3)</f>
        <v>3.8275129116196664</v>
      </c>
      <c r="FG24" s="136">
        <f t="shared" ref="FG24:FG26" si="373">IF(SeilBeregnet=0,FG23,(SeilBeregnet^0.5/Lwl*FG$7)^FG$3)</f>
        <v>0.9035995616662944</v>
      </c>
      <c r="FH24" s="136">
        <f t="shared" ref="FH24:FH26" si="374">IF(SeilBeregnet=0,FH23,((Loa)/Bredde)^FH$3*FH$7)</f>
        <v>1.8116432546313532</v>
      </c>
      <c r="FI24" s="110">
        <f t="shared" ref="FI24:FI26" si="375">IF(SeilBeregnet=0,FI23,(Lwl)^FI$3)</f>
        <v>1.8252852516227529</v>
      </c>
      <c r="FJ24" s="110">
        <f>IF(SeilBeregnet=0,"-",FJ$7*(FL:FL+FJ$6)*FO:FO*PropF+ErfaringsF+Dyp_F)</f>
        <v>1.0378071325476226</v>
      </c>
      <c r="FK24" s="144">
        <f t="shared" si="263"/>
        <v>-4.4581918332881276</v>
      </c>
      <c r="FL24" s="110">
        <f>(FM:FM*FN:FN)^FL$3</f>
        <v>6.9340879483501796</v>
      </c>
      <c r="FM24" s="136">
        <f t="shared" ref="FM24:FM26" si="376">IF(SeilBeregnet=0,FM23,(SeilBeregnet^0.5/(Depl^0.3333))^FM$3)</f>
        <v>3.8275129116196664</v>
      </c>
      <c r="FN24" s="136">
        <f t="shared" ref="FN24:FN26" si="377">IF(SeilBeregnet=0,FN23,(Loa/Bredde)^FN$3)</f>
        <v>1.8116432546313532</v>
      </c>
      <c r="FO24" s="110">
        <f t="shared" ref="FO24:FO26" si="378">IF(SeilBeregnet=0,FO23,Lwl^FO$3)</f>
        <v>1.8252852516227529</v>
      </c>
      <c r="FQ24">
        <v>0.95</v>
      </c>
      <c r="FR24" s="64">
        <f t="shared" si="264"/>
        <v>1.2460967691258762</v>
      </c>
      <c r="FS24" s="479"/>
      <c r="FT24" s="18"/>
      <c r="FU24" s="481"/>
      <c r="FV24" s="504"/>
      <c r="FW24" s="18"/>
      <c r="FX24" s="18"/>
      <c r="FY24" s="18"/>
      <c r="FZ24" s="18"/>
      <c r="GB24" s="18"/>
      <c r="GC24" s="481"/>
      <c r="GD24" s="8"/>
      <c r="GE24" s="8"/>
      <c r="GF24" s="8"/>
      <c r="GG24" s="8"/>
      <c r="GI24" s="18"/>
      <c r="GJ24" s="18"/>
      <c r="GK24" s="18"/>
      <c r="GL24" s="18"/>
      <c r="GM24" s="18"/>
      <c r="GN24" s="18"/>
      <c r="GO24" s="18"/>
      <c r="GP24" s="18"/>
    </row>
    <row r="25" spans="1:198" ht="15.6" x14ac:dyDescent="0.3">
      <c r="A25" s="62" t="s">
        <v>32</v>
      </c>
      <c r="B25" s="223"/>
      <c r="C25" s="14" t="str">
        <f>C23</f>
        <v>Gaffel</v>
      </c>
      <c r="G25" s="56"/>
      <c r="H25" s="209">
        <f>TBFavrundet</f>
        <v>103.49999999999999</v>
      </c>
      <c r="I25" s="65">
        <f>COUNTA(O25:AD25)</f>
        <v>3</v>
      </c>
      <c r="J25" s="228">
        <f>SUM(O25:AD25)</f>
        <v>112.5</v>
      </c>
      <c r="K25" s="119">
        <f>Seilareal/Depl^0.667/K$7</f>
        <v>1.4961981812992515</v>
      </c>
      <c r="L25" s="119">
        <f>Seilareal/Lwl/Lwl/L$7</f>
        <v>1.3854266538830295</v>
      </c>
      <c r="M25" s="95">
        <f>RiggF</f>
        <v>0.83422222222222231</v>
      </c>
      <c r="N25" s="265">
        <f>StHfaktor</f>
        <v>1.0055226928764704</v>
      </c>
      <c r="O25" s="147"/>
      <c r="P25" s="169">
        <v>31</v>
      </c>
      <c r="Q25" s="147"/>
      <c r="R25" s="147"/>
      <c r="S25" s="147"/>
      <c r="T25" s="169">
        <v>23.5</v>
      </c>
      <c r="U25" s="169">
        <v>58</v>
      </c>
      <c r="V25" s="148"/>
      <c r="W25" s="148"/>
      <c r="X25" s="148"/>
      <c r="Y25" s="147"/>
      <c r="Z25" s="147"/>
      <c r="AA25" s="147"/>
      <c r="AB25" s="147"/>
      <c r="AC25" s="147"/>
      <c r="AD25" s="147"/>
      <c r="AE25" s="260">
        <f t="shared" si="345"/>
        <v>11.6</v>
      </c>
      <c r="AF25" s="375">
        <f t="shared" ref="AF25:AH25" si="379" xml:space="preserve"> AF24</f>
        <v>0</v>
      </c>
      <c r="AG25" s="377"/>
      <c r="AH25" s="375">
        <f t="shared" si="379"/>
        <v>0</v>
      </c>
      <c r="AI25" s="377"/>
      <c r="AJ25" s="295" t="str">
        <f t="shared" ref="AJ25" si="380" xml:space="preserve"> AJ24</f>
        <v>Lystb</v>
      </c>
      <c r="AK25" s="47">
        <f>VLOOKUP(AJ25,Skrogform!$1:$1048576,3,FALSE)</f>
        <v>0.98</v>
      </c>
      <c r="AL25" s="66">
        <f t="shared" ref="AL25:AT25" si="381">AL24</f>
        <v>12.8</v>
      </c>
      <c r="AM25" s="66">
        <f t="shared" si="381"/>
        <v>11.1</v>
      </c>
      <c r="AN25" s="66">
        <f t="shared" si="381"/>
        <v>3.9</v>
      </c>
      <c r="AO25" s="66">
        <f t="shared" si="381"/>
        <v>2.14</v>
      </c>
      <c r="AP25" s="66">
        <f t="shared" si="381"/>
        <v>18</v>
      </c>
      <c r="AQ25" s="66">
        <f t="shared" si="381"/>
        <v>6.2</v>
      </c>
      <c r="AR25" s="66">
        <f t="shared" si="381"/>
        <v>0</v>
      </c>
      <c r="AS25" s="284">
        <f t="shared" si="381"/>
        <v>68</v>
      </c>
      <c r="AT25" s="284">
        <f t="shared" si="381"/>
        <v>480</v>
      </c>
      <c r="AU25" s="284">
        <f t="shared" ref="AU25:AV25" si="382">AU24</f>
        <v>120</v>
      </c>
      <c r="AV25" s="284">
        <f t="shared" si="382"/>
        <v>140</v>
      </c>
      <c r="AW25" s="284"/>
      <c r="AX25" s="284">
        <f>AX24</f>
        <v>0</v>
      </c>
      <c r="AY25" s="68"/>
      <c r="AZ25" s="68"/>
      <c r="BA25" s="289"/>
      <c r="BB25" s="68"/>
      <c r="BC25" s="179"/>
      <c r="BD25" s="68"/>
      <c r="BE25" s="68"/>
      <c r="BF25" s="67" t="str">
        <f t="shared" ref="BF25:BH25" si="383" xml:space="preserve"> BF24</f>
        <v>Seilrett</v>
      </c>
      <c r="BG25" s="295">
        <f t="shared" si="383"/>
        <v>3</v>
      </c>
      <c r="BH25" s="295">
        <f t="shared" si="383"/>
        <v>62</v>
      </c>
      <c r="BI25" s="47">
        <f t="shared" si="200"/>
        <v>1</v>
      </c>
      <c r="BJ25" s="61"/>
      <c r="BK25" s="61"/>
      <c r="BM25" s="51">
        <f t="shared" si="350"/>
        <v>0</v>
      </c>
      <c r="BN25" s="51">
        <f t="shared" si="350"/>
        <v>31</v>
      </c>
      <c r="BO25" s="51">
        <f t="shared" si="350"/>
        <v>0</v>
      </c>
      <c r="BP25" s="51">
        <f t="shared" si="350"/>
        <v>0</v>
      </c>
      <c r="BQ25" s="51">
        <f t="shared" si="350"/>
        <v>0</v>
      </c>
      <c r="BR25" s="51">
        <f t="shared" si="350"/>
        <v>23.5</v>
      </c>
      <c r="BS25" s="52">
        <f>IF(COUNT(P25:T25)&gt;1,MINA(P25:T25)*BS$9,0)</f>
        <v>-7.05</v>
      </c>
      <c r="BT25" s="88">
        <f t="shared" si="351"/>
        <v>46.400000000000006</v>
      </c>
      <c r="BU25" s="88">
        <f t="shared" si="351"/>
        <v>0</v>
      </c>
      <c r="BV25" s="88">
        <f t="shared" si="351"/>
        <v>0</v>
      </c>
      <c r="BW25" s="88">
        <f t="shared" si="351"/>
        <v>0</v>
      </c>
      <c r="BX25" s="88">
        <f t="shared" si="351"/>
        <v>0</v>
      </c>
      <c r="BY25" s="88">
        <f t="shared" si="351"/>
        <v>0</v>
      </c>
      <c r="BZ25" s="88">
        <f t="shared" si="351"/>
        <v>0</v>
      </c>
      <c r="CA25" s="88">
        <f t="shared" si="351"/>
        <v>0</v>
      </c>
      <c r="CB25" s="88">
        <f t="shared" si="351"/>
        <v>0</v>
      </c>
      <c r="CC25" s="88">
        <f t="shared" si="351"/>
        <v>0</v>
      </c>
      <c r="CD25" s="103">
        <f>SUM(BM25:CC25)</f>
        <v>93.850000000000009</v>
      </c>
      <c r="CE25" s="52"/>
      <c r="CF25" s="107">
        <f>J25</f>
        <v>112.5</v>
      </c>
      <c r="CG25" s="104">
        <f t="shared" si="352"/>
        <v>0.83422222222222231</v>
      </c>
      <c r="CH25" s="53">
        <f>Seilareal/Lwl/Lwl</f>
        <v>0.91307523739956176</v>
      </c>
      <c r="CI25" s="119">
        <f>Seilareal/Depl^0.667/K$7</f>
        <v>1.4961981812992515</v>
      </c>
      <c r="CJ25" s="53">
        <f>Seilareal/Lwl/Lwl/SApRS1</f>
        <v>1.3854266538830295</v>
      </c>
      <c r="CK25" s="209"/>
      <c r="CL25" s="209">
        <f>(ROUND(TBF/CL$6,3)*CL$6)*CL$4</f>
        <v>103.49999999999999</v>
      </c>
      <c r="CM25" s="110">
        <f t="shared" si="234"/>
        <v>1.0359186801678733</v>
      </c>
      <c r="CN25" s="64">
        <f>IF(SeilBeregnet=0,"-",(SeilBeregnet)^(1/2)*StHfaktor/(Depl+DeplTillegg/1000+Vann/1000+Diesel/1000*0.84)^(1/3))</f>
        <v>3.6872921757871389</v>
      </c>
      <c r="CO25" s="64">
        <f t="shared" si="203"/>
        <v>1.7504578155735613</v>
      </c>
      <c r="CP25" s="64">
        <f t="shared" si="204"/>
        <v>1.8252852516227529</v>
      </c>
      <c r="CQ25" s="110">
        <f t="shared" si="205"/>
        <v>1.0055226928764704</v>
      </c>
      <c r="CR25" s="172" t="str">
        <f t="shared" si="235"/>
        <v>-</v>
      </c>
      <c r="CS25" s="162"/>
      <c r="CT25" s="172" t="str">
        <f t="shared" si="236"/>
        <v>-</v>
      </c>
      <c r="CU25" s="164"/>
      <c r="CV25" s="195" t="s">
        <v>145</v>
      </c>
      <c r="CW25" s="64">
        <v>1</v>
      </c>
      <c r="CX25" s="64">
        <v>0.94</v>
      </c>
      <c r="CY25" s="64">
        <v>1.01</v>
      </c>
      <c r="CZ25" s="154">
        <v>1.02</v>
      </c>
      <c r="DA25" s="64">
        <f t="shared" si="210"/>
        <v>2.0978443255134516</v>
      </c>
      <c r="DB25" s="49">
        <f t="shared" si="206"/>
        <v>13.375</v>
      </c>
      <c r="DC25" s="50">
        <f t="shared" si="207"/>
        <v>0</v>
      </c>
      <c r="DE25" s="110">
        <f>IF(SeilBeregnet=0,"-",DE$7*(DG:DG+DE$6)*DL:DL*PropF+ErfaringsF+Dyp_F)</f>
        <v>1.0155164025078576</v>
      </c>
      <c r="DF25" s="144" t="str">
        <f t="shared" si="257"/>
        <v>-</v>
      </c>
      <c r="DG25" s="110">
        <f t="shared" si="208"/>
        <v>5.5085186480707522</v>
      </c>
      <c r="DH25" s="136">
        <f>IF(SeilBeregnet=0,DH24,(SeilBeregnet^0.5/(Depl^0.3333))^DH$3*DH$7)</f>
        <v>3.6968753934393987</v>
      </c>
      <c r="DI25" s="136">
        <f>IF(SeilBeregnet=0,DI24,(SeilBeregnet^0.5/Lwl)^DI$3*DI$7)</f>
        <v>0</v>
      </c>
      <c r="DJ25" s="136">
        <f>IF(SeilBeregnet=0,DJ24,(0.1*Loa/Depl^0.3333)^DJ$3*DJ$7)</f>
        <v>0</v>
      </c>
      <c r="DK25" s="136">
        <f>IF(SeilBeregnet=0,DK24,((Loa)/Bredde)^DK$3*DK$7)</f>
        <v>1.8116432546313532</v>
      </c>
      <c r="DL25" s="110">
        <f>IF(SeilBeregnet=0,DL24,(Lwl)^DL$3)</f>
        <v>1.8252852516227529</v>
      </c>
      <c r="DM25" s="136">
        <f>IF(SeilBeregnet=0,DM24,(Dypg/Loa)^DM$3*5*DM$7)</f>
        <v>2.0444284042245155</v>
      </c>
      <c r="DO25" s="110">
        <f t="shared" si="344"/>
        <v>1.0570598777223197</v>
      </c>
      <c r="DP25" s="110">
        <f t="shared" si="211"/>
        <v>1.0270233180646124</v>
      </c>
      <c r="DR25" s="110">
        <f t="shared" si="212"/>
        <v>1.0059876593836161</v>
      </c>
      <c r="DS25" s="125" t="str">
        <f t="shared" si="259"/>
        <v>-</v>
      </c>
      <c r="DT25" s="110">
        <f t="shared" si="213"/>
        <v>1.0385697900537409</v>
      </c>
      <c r="DU25" s="125" t="str">
        <f t="shared" si="260"/>
        <v>-</v>
      </c>
      <c r="DV25" s="110">
        <f t="shared" si="353"/>
        <v>3.6965548470101846</v>
      </c>
      <c r="DW25" s="110">
        <f t="shared" si="354"/>
        <v>2.2305201393117833</v>
      </c>
      <c r="DX25" s="110">
        <f t="shared" si="355"/>
        <v>1.5733789064132366</v>
      </c>
      <c r="DZ25" s="110">
        <f t="shared" si="216"/>
        <v>1.0268061414829899</v>
      </c>
      <c r="EB25" s="110">
        <f t="shared" si="356"/>
        <v>3.6965548470101846</v>
      </c>
      <c r="EC25" s="110">
        <f t="shared" si="357"/>
        <v>2.2306812073130904</v>
      </c>
      <c r="ED25" s="110">
        <f t="shared" si="358"/>
        <v>1.8298613614330996</v>
      </c>
      <c r="EE25" s="110">
        <f t="shared" si="218"/>
        <v>1.0271007364330267</v>
      </c>
      <c r="EG25" s="110">
        <f t="shared" si="359"/>
        <v>5.8160814226854338</v>
      </c>
      <c r="EH25" s="110">
        <f t="shared" si="360"/>
        <v>3.6965548470101846</v>
      </c>
      <c r="EI25" s="110">
        <f t="shared" si="361"/>
        <v>1.5733789064132366</v>
      </c>
      <c r="EJ25" s="110">
        <f t="shared" si="362"/>
        <v>1.8252852516227529</v>
      </c>
      <c r="EK25" s="110">
        <f>IF(SeilBeregnet=0,"-",EK$7*(EK$4*EM:EM+EK$6)*EP:EP*PropF+ErfaringsF+Dyp_F)</f>
        <v>1.0232475237409959</v>
      </c>
      <c r="EM25" s="110">
        <f>IF(SeilBeregnet=0,EM24,(EN:EN*EO:EO)^EM$3)</f>
        <v>1.9277305617641973</v>
      </c>
      <c r="EN25" s="110">
        <f t="shared" si="363"/>
        <v>3.6965548470101846</v>
      </c>
      <c r="EO25" s="110">
        <f t="shared" si="364"/>
        <v>1.0052996026192789</v>
      </c>
      <c r="EP25" s="110">
        <f t="shared" si="365"/>
        <v>1.8458995117503456</v>
      </c>
      <c r="EQ25" s="110">
        <f>IF(SeilBeregnet=0,"-",EQ$7*(ES:ES+EQ$6)*EV:EV*PropF+ErfaringsF+Dyp_F)</f>
        <v>0.97375831538534685</v>
      </c>
      <c r="ES25" s="110">
        <f>(ET:ET*EU:EU)^ES$3</f>
        <v>1.9278141414455952</v>
      </c>
      <c r="ET25" s="110">
        <f t="shared" si="366"/>
        <v>3.6968753934393987</v>
      </c>
      <c r="EU25" s="110">
        <f t="shared" si="367"/>
        <v>1.0052996026192789</v>
      </c>
      <c r="EV25" s="110">
        <f t="shared" si="368"/>
        <v>1.8458995117503456</v>
      </c>
      <c r="EW25" s="110">
        <f>IF(SeilBeregnet=0,"-",EW$7*(EY:EY+EW$6)*FB:FB*PropF+ErfaringsF+Dyp_F)</f>
        <v>1.0181825779693394</v>
      </c>
      <c r="EX25" s="144" t="str">
        <f t="shared" si="261"/>
        <v>-</v>
      </c>
      <c r="EY25" s="110">
        <f>(EZ:EZ*FA:FA)^EY$3</f>
        <v>3.736163164134112</v>
      </c>
      <c r="EZ25" s="136">
        <f t="shared" si="369"/>
        <v>3.6968753934393987</v>
      </c>
      <c r="FA25" s="136">
        <f t="shared" si="370"/>
        <v>1.01062729102648</v>
      </c>
      <c r="FB25" s="110">
        <f t="shared" si="371"/>
        <v>1.0380255776059077</v>
      </c>
      <c r="FC25" s="110">
        <f>IF(SeilBeregnet=0,"-",FC$7*(FE:FE+FC$6)*FI:FI*PropF+ErfaringsF+Dyp_F)</f>
        <v>1.0305608356777864</v>
      </c>
      <c r="FD25" s="144" t="str">
        <f t="shared" si="262"/>
        <v>-</v>
      </c>
      <c r="FE25" s="110">
        <f>(FF:FF+FG:FG+FH:FH)^FE$3+FE$7</f>
        <v>5.881277293745228</v>
      </c>
      <c r="FF25" s="136">
        <f t="shared" si="372"/>
        <v>3.6968753934393987</v>
      </c>
      <c r="FG25" s="136">
        <f t="shared" si="373"/>
        <v>0.87275864567447603</v>
      </c>
      <c r="FH25" s="136">
        <f t="shared" si="374"/>
        <v>1.8116432546313532</v>
      </c>
      <c r="FI25" s="110">
        <f t="shared" si="375"/>
        <v>1.8252852516227529</v>
      </c>
      <c r="FJ25" s="110">
        <f>IF(SeilBeregnet=0,"-",FJ$7*(FL:FL+FJ$6)*FO:FO*PropF+ErfaringsF+Dyp_F)</f>
        <v>1.0153437739122455</v>
      </c>
      <c r="FK25" s="144" t="str">
        <f t="shared" si="263"/>
        <v>-</v>
      </c>
      <c r="FL25" s="110">
        <f>(FM:FM*FN:FN)^FL$3</f>
        <v>6.6974193697371165</v>
      </c>
      <c r="FM25" s="136">
        <f t="shared" si="376"/>
        <v>3.6968753934393987</v>
      </c>
      <c r="FN25" s="136">
        <f t="shared" si="377"/>
        <v>1.8116432546313532</v>
      </c>
      <c r="FO25" s="110">
        <f t="shared" si="378"/>
        <v>1.8252852516227529</v>
      </c>
      <c r="FQ25">
        <v>0.95</v>
      </c>
      <c r="FR25" s="64">
        <f t="shared" si="264"/>
        <v>1.2249114594859667</v>
      </c>
      <c r="FS25" s="479"/>
      <c r="FT25" s="18"/>
      <c r="FU25" s="481"/>
      <c r="FV25" s="504"/>
      <c r="FW25" s="18"/>
      <c r="FX25" s="18"/>
      <c r="FY25" s="18"/>
      <c r="FZ25" s="18"/>
      <c r="GB25" s="18"/>
      <c r="GC25" s="481"/>
      <c r="GD25" s="8"/>
      <c r="GE25" s="8"/>
      <c r="GF25" s="8"/>
      <c r="GG25" s="8"/>
      <c r="GI25" s="18"/>
      <c r="GJ25" s="18"/>
      <c r="GK25" s="18"/>
      <c r="GL25" s="18"/>
      <c r="GM25" s="18"/>
      <c r="GN25" s="18"/>
      <c r="GO25" s="18"/>
      <c r="GP25" s="18"/>
    </row>
    <row r="26" spans="1:198" ht="15.6" x14ac:dyDescent="0.3">
      <c r="A26" s="62" t="s">
        <v>132</v>
      </c>
      <c r="B26" s="223"/>
      <c r="C26" s="14" t="str">
        <f>C24</f>
        <v>Gaffel</v>
      </c>
      <c r="G26" s="56"/>
      <c r="H26" s="209">
        <f>TBFavrundet</f>
        <v>101.50000000000001</v>
      </c>
      <c r="I26" s="65">
        <f>COUNTA(O26:AD26)</f>
        <v>3</v>
      </c>
      <c r="J26" s="228">
        <f>SUM(O26:AD26)</f>
        <v>107.5</v>
      </c>
      <c r="K26" s="119">
        <f>Seilareal/Depl^0.667/K$7</f>
        <v>1.4297004843526182</v>
      </c>
      <c r="L26" s="119">
        <f>Seilareal/Lwl/Lwl/L$7</f>
        <v>1.3238521359326727</v>
      </c>
      <c r="M26" s="95">
        <f>RiggF</f>
        <v>0.82651162790697685</v>
      </c>
      <c r="N26" s="265">
        <f>StHfaktor</f>
        <v>1.0055226928764704</v>
      </c>
      <c r="O26" s="147"/>
      <c r="P26" s="147"/>
      <c r="Q26" s="169">
        <v>26</v>
      </c>
      <c r="R26" s="147"/>
      <c r="S26" s="147"/>
      <c r="T26" s="169">
        <v>23.5</v>
      </c>
      <c r="U26" s="169">
        <v>58</v>
      </c>
      <c r="V26" s="148"/>
      <c r="W26" s="148"/>
      <c r="X26" s="148"/>
      <c r="Y26" s="147"/>
      <c r="Z26" s="147"/>
      <c r="AA26" s="147"/>
      <c r="AB26" s="147"/>
      <c r="AC26" s="147"/>
      <c r="AD26" s="147"/>
      <c r="AE26" s="260">
        <f t="shared" si="345"/>
        <v>11.6</v>
      </c>
      <c r="AF26" s="375">
        <f t="shared" ref="AF26:AH26" si="384" xml:space="preserve"> AF25</f>
        <v>0</v>
      </c>
      <c r="AG26" s="377"/>
      <c r="AH26" s="375">
        <f t="shared" si="384"/>
        <v>0</v>
      </c>
      <c r="AI26" s="377"/>
      <c r="AJ26" s="295" t="str">
        <f t="shared" ref="AJ26" si="385" xml:space="preserve"> AJ25</f>
        <v>Lystb</v>
      </c>
      <c r="AK26" s="47">
        <f>VLOOKUP(AJ26,Skrogform!$1:$1048576,3,FALSE)</f>
        <v>0.98</v>
      </c>
      <c r="AL26" s="66">
        <f t="shared" ref="AL26:AT26" si="386">AL25</f>
        <v>12.8</v>
      </c>
      <c r="AM26" s="66">
        <f t="shared" si="386"/>
        <v>11.1</v>
      </c>
      <c r="AN26" s="66">
        <f t="shared" si="386"/>
        <v>3.9</v>
      </c>
      <c r="AO26" s="66">
        <f t="shared" si="386"/>
        <v>2.14</v>
      </c>
      <c r="AP26" s="66">
        <f t="shared" si="386"/>
        <v>18</v>
      </c>
      <c r="AQ26" s="66">
        <f t="shared" si="386"/>
        <v>6.2</v>
      </c>
      <c r="AR26" s="66">
        <f t="shared" si="386"/>
        <v>0</v>
      </c>
      <c r="AS26" s="284">
        <f t="shared" si="386"/>
        <v>68</v>
      </c>
      <c r="AT26" s="284">
        <f t="shared" si="386"/>
        <v>480</v>
      </c>
      <c r="AU26" s="284">
        <f t="shared" ref="AU26:AV26" si="387">AU25</f>
        <v>120</v>
      </c>
      <c r="AV26" s="284">
        <f t="shared" si="387"/>
        <v>140</v>
      </c>
      <c r="AW26" s="284"/>
      <c r="AX26" s="284">
        <f>AX25</f>
        <v>0</v>
      </c>
      <c r="AY26" s="68"/>
      <c r="AZ26" s="68"/>
      <c r="BA26" s="289"/>
      <c r="BB26" s="68"/>
      <c r="BC26" s="179"/>
      <c r="BD26" s="68"/>
      <c r="BE26" s="68"/>
      <c r="BF26" s="67" t="str">
        <f t="shared" ref="BF26:BH26" si="388" xml:space="preserve"> BF25</f>
        <v>Seilrett</v>
      </c>
      <c r="BG26" s="295">
        <f t="shared" si="388"/>
        <v>3</v>
      </c>
      <c r="BH26" s="295">
        <f t="shared" si="388"/>
        <v>62</v>
      </c>
      <c r="BI26" s="47">
        <f t="shared" si="200"/>
        <v>1</v>
      </c>
      <c r="BJ26" s="61"/>
      <c r="BK26" s="61"/>
      <c r="BM26" s="51">
        <f t="shared" si="350"/>
        <v>0</v>
      </c>
      <c r="BN26" s="51">
        <f t="shared" si="350"/>
        <v>0</v>
      </c>
      <c r="BO26" s="51">
        <f t="shared" si="350"/>
        <v>26</v>
      </c>
      <c r="BP26" s="51">
        <f t="shared" si="350"/>
        <v>0</v>
      </c>
      <c r="BQ26" s="51">
        <f t="shared" si="350"/>
        <v>0</v>
      </c>
      <c r="BR26" s="51">
        <f t="shared" si="350"/>
        <v>23.5</v>
      </c>
      <c r="BS26" s="52">
        <f>IF(COUNT(P26:T26)&gt;1,MINA(P26:T26)*BS$9,0)</f>
        <v>-7.05</v>
      </c>
      <c r="BT26" s="88">
        <f t="shared" si="351"/>
        <v>46.400000000000006</v>
      </c>
      <c r="BU26" s="88">
        <f t="shared" si="351"/>
        <v>0</v>
      </c>
      <c r="BV26" s="88">
        <f t="shared" si="351"/>
        <v>0</v>
      </c>
      <c r="BW26" s="88">
        <f t="shared" si="351"/>
        <v>0</v>
      </c>
      <c r="BX26" s="88">
        <f t="shared" si="351"/>
        <v>0</v>
      </c>
      <c r="BY26" s="88">
        <f t="shared" si="351"/>
        <v>0</v>
      </c>
      <c r="BZ26" s="88">
        <f t="shared" si="351"/>
        <v>0</v>
      </c>
      <c r="CA26" s="88">
        <f t="shared" si="351"/>
        <v>0</v>
      </c>
      <c r="CB26" s="88">
        <f t="shared" si="351"/>
        <v>0</v>
      </c>
      <c r="CC26" s="88">
        <f t="shared" si="351"/>
        <v>0</v>
      </c>
      <c r="CD26" s="103">
        <f>SUM(BM26:CC26)</f>
        <v>88.850000000000009</v>
      </c>
      <c r="CE26" s="52"/>
      <c r="CF26" s="107">
        <f>J26</f>
        <v>107.5</v>
      </c>
      <c r="CG26" s="104">
        <f t="shared" si="352"/>
        <v>0.82651162790697685</v>
      </c>
      <c r="CH26" s="53">
        <f>Seilareal/Lwl/Lwl</f>
        <v>0.87249411573735902</v>
      </c>
      <c r="CI26" s="119">
        <f>Seilareal/Depl^0.667/K$7</f>
        <v>1.4297004843526182</v>
      </c>
      <c r="CJ26" s="53">
        <f>Seilareal/Lwl/Lwl/SApRS1</f>
        <v>1.3238521359326727</v>
      </c>
      <c r="CK26" s="209"/>
      <c r="CL26" s="209">
        <f>(ROUND(TBF/CL$6,3)*CL$6)*CL$4</f>
        <v>101.50000000000001</v>
      </c>
      <c r="CM26" s="110">
        <f t="shared" si="234"/>
        <v>1.0169506057506894</v>
      </c>
      <c r="CN26" s="64">
        <f>IF(SeilBeregnet=0,"-",(SeilBeregnet)^(1/2)*StHfaktor/(Depl+DeplTillegg/1000+Vann/1000+Diesel/1000*0.84)^(1/3))</f>
        <v>3.5877248560034509</v>
      </c>
      <c r="CO26" s="64">
        <f t="shared" si="203"/>
        <v>1.7504578155735613</v>
      </c>
      <c r="CP26" s="64">
        <f t="shared" si="204"/>
        <v>1.8252852516227529</v>
      </c>
      <c r="CQ26" s="110">
        <f t="shared" si="205"/>
        <v>1.0055226928764704</v>
      </c>
      <c r="CR26" s="172" t="str">
        <f t="shared" si="235"/>
        <v>-</v>
      </c>
      <c r="CS26" s="162"/>
      <c r="CT26" s="172" t="str">
        <f t="shared" si="236"/>
        <v>-</v>
      </c>
      <c r="CU26" s="164"/>
      <c r="CV26" s="195" t="s">
        <v>145</v>
      </c>
      <c r="CW26" s="64">
        <v>0.98</v>
      </c>
      <c r="CX26" s="64">
        <v>0.93</v>
      </c>
      <c r="CY26" s="64">
        <v>0.99</v>
      </c>
      <c r="CZ26" s="154">
        <v>1.01</v>
      </c>
      <c r="DA26" s="64">
        <f t="shared" si="210"/>
        <v>2.0978443255134516</v>
      </c>
      <c r="DB26" s="49">
        <f t="shared" si="206"/>
        <v>13.375</v>
      </c>
      <c r="DC26" s="50">
        <f t="shared" si="207"/>
        <v>0</v>
      </c>
      <c r="DE26" s="110">
        <f>IF(SeilBeregnet=0,"-",DE$7*(DG:DG+DE$6)*DL:DL*PropF+ErfaringsF+Dyp_F)</f>
        <v>0.99711308174254731</v>
      </c>
      <c r="DF26" s="144" t="str">
        <f t="shared" si="257"/>
        <v>-</v>
      </c>
      <c r="DG26" s="110">
        <f t="shared" si="208"/>
        <v>5.4086925543003419</v>
      </c>
      <c r="DH26" s="136">
        <f>IF(SeilBeregnet=0,DH25,(SeilBeregnet^0.5/(Depl^0.3333))^DH$3*DH$7)</f>
        <v>3.5970492996689885</v>
      </c>
      <c r="DI26" s="136">
        <f>IF(SeilBeregnet=0,DI25,(SeilBeregnet^0.5/Lwl)^DI$3*DI$7)</f>
        <v>0</v>
      </c>
      <c r="DJ26" s="136">
        <f>IF(SeilBeregnet=0,DJ25,(0.1*Loa/Depl^0.3333)^DJ$3*DJ$7)</f>
        <v>0</v>
      </c>
      <c r="DK26" s="136">
        <f>IF(SeilBeregnet=0,DK25,((Loa)/Bredde)^DK$3*DK$7)</f>
        <v>1.8116432546313532</v>
      </c>
      <c r="DL26" s="110">
        <f>IF(SeilBeregnet=0,DL25,(Lwl)^DL$3)</f>
        <v>1.8252852516227529</v>
      </c>
      <c r="DM26" s="136">
        <f>IF(SeilBeregnet=0,DM25,(Dypg/Loa)^DM$3*5*DM$7)</f>
        <v>2.0444284042245155</v>
      </c>
      <c r="DO26" s="110">
        <f t="shared" si="344"/>
        <v>1.0377046997456014</v>
      </c>
      <c r="DP26" s="110">
        <f t="shared" si="211"/>
        <v>1.0046187564928875</v>
      </c>
      <c r="DR26" s="110">
        <f t="shared" si="212"/>
        <v>0.98789413009580795</v>
      </c>
      <c r="DS26" s="125" t="str">
        <f t="shared" si="259"/>
        <v>-</v>
      </c>
      <c r="DT26" s="110">
        <f t="shared" si="213"/>
        <v>1.0166173189252818</v>
      </c>
      <c r="DU26" s="125" t="str">
        <f t="shared" si="260"/>
        <v>-</v>
      </c>
      <c r="DV26" s="110">
        <f t="shared" si="353"/>
        <v>3.5967374089001618</v>
      </c>
      <c r="DW26" s="110">
        <f t="shared" si="354"/>
        <v>2.2305201393117833</v>
      </c>
      <c r="DX26" s="110">
        <f t="shared" si="355"/>
        <v>1.5733789064132366</v>
      </c>
      <c r="DZ26" s="110">
        <f t="shared" si="216"/>
        <v>1.0069680435737995</v>
      </c>
      <c r="EB26" s="110">
        <f t="shared" si="356"/>
        <v>3.5967374089001618</v>
      </c>
      <c r="EC26" s="110">
        <f t="shared" si="357"/>
        <v>2.2306812073130904</v>
      </c>
      <c r="ED26" s="110">
        <f t="shared" si="358"/>
        <v>1.8298613614330996</v>
      </c>
      <c r="EE26" s="110">
        <f t="shared" si="218"/>
        <v>1.0064629217523375</v>
      </c>
      <c r="EG26" s="110">
        <f t="shared" si="359"/>
        <v>5.6590307710709151</v>
      </c>
      <c r="EH26" s="110">
        <f t="shared" si="360"/>
        <v>3.5967374089001618</v>
      </c>
      <c r="EI26" s="110">
        <f t="shared" si="361"/>
        <v>1.5733789064132366</v>
      </c>
      <c r="EJ26" s="110">
        <f t="shared" si="362"/>
        <v>1.8252852516227529</v>
      </c>
      <c r="EK26" s="110">
        <f>IF(SeilBeregnet=0,"-",EK$7*(EK$4*EM:EM+EK$6)*EP:EP*PropF+ErfaringsF+Dyp_F)</f>
        <v>1.0044663822776758</v>
      </c>
      <c r="EM26" s="110">
        <f>IF(SeilBeregnet=0,EM25,(EN:EN*EO:EO)^EM$3)</f>
        <v>1.9015253582040992</v>
      </c>
      <c r="EN26" s="110">
        <f t="shared" si="363"/>
        <v>3.5967374089001618</v>
      </c>
      <c r="EO26" s="110">
        <f t="shared" si="364"/>
        <v>1.0052996026192789</v>
      </c>
      <c r="EP26" s="110">
        <f t="shared" si="365"/>
        <v>1.8458995117503456</v>
      </c>
      <c r="EQ26" s="110">
        <f>IF(SeilBeregnet=0,"-",EQ$7*(ES:ES+EQ$6)*EV:EV*PropF+ErfaringsF+Dyp_F)</f>
        <v>0.9605212295710005</v>
      </c>
      <c r="ES26" s="110">
        <f>(ET:ET*EU:EU)^ES$3</f>
        <v>1.9016078017191635</v>
      </c>
      <c r="ET26" s="110">
        <f t="shared" si="366"/>
        <v>3.5970492996689885</v>
      </c>
      <c r="EU26" s="110">
        <f t="shared" si="367"/>
        <v>1.0052996026192789</v>
      </c>
      <c r="EV26" s="110">
        <f t="shared" si="368"/>
        <v>1.8458995117503456</v>
      </c>
      <c r="EW26" s="110">
        <f>IF(SeilBeregnet=0,"-",EW$7*(EY:EY+EW$6)*FB:FB*PropF+ErfaringsF+Dyp_F)</f>
        <v>1.0002749004738363</v>
      </c>
      <c r="EX26" s="144" t="str">
        <f t="shared" si="261"/>
        <v>-</v>
      </c>
      <c r="EY26" s="110">
        <f>(EZ:EZ*FA:FA)^EY$3</f>
        <v>3.6352761894131667</v>
      </c>
      <c r="EZ26" s="136">
        <f t="shared" si="369"/>
        <v>3.5970492996689885</v>
      </c>
      <c r="FA26" s="136">
        <f t="shared" si="370"/>
        <v>1.01062729102648</v>
      </c>
      <c r="FB26" s="110">
        <f t="shared" si="371"/>
        <v>1.0380255776059077</v>
      </c>
      <c r="FC26" s="110">
        <f>IF(SeilBeregnet=0,"-",FC$7*(FE:FE+FC$6)*FI:FI*PropF+ErfaringsF+Dyp_F)</f>
        <v>1.0089389949754637</v>
      </c>
      <c r="FD26" s="144" t="str">
        <f t="shared" si="262"/>
        <v>-</v>
      </c>
      <c r="FE26" s="110">
        <f>(FF:FF+FG:FG+FH:FH)^FE$3+FE$7</f>
        <v>5.7578842475812779</v>
      </c>
      <c r="FF26" s="136">
        <f t="shared" si="372"/>
        <v>3.5970492996689885</v>
      </c>
      <c r="FG26" s="136">
        <f t="shared" si="373"/>
        <v>0.8491916932809358</v>
      </c>
      <c r="FH26" s="136">
        <f t="shared" si="374"/>
        <v>1.8116432546313532</v>
      </c>
      <c r="FI26" s="110">
        <f t="shared" si="375"/>
        <v>1.8252852516227529</v>
      </c>
      <c r="FJ26" s="110">
        <f>IF(SeilBeregnet=0,"-",FJ$7*(FL:FL+FJ$6)*FO:FO*PropF+ErfaringsF+Dyp_F)</f>
        <v>0.99817849569225403</v>
      </c>
      <c r="FK26" s="144" t="str">
        <f t="shared" si="263"/>
        <v>-</v>
      </c>
      <c r="FL26" s="110">
        <f>(FM:FM*FN:FN)^FL$3</f>
        <v>6.516570100321756</v>
      </c>
      <c r="FM26" s="136">
        <f t="shared" si="376"/>
        <v>3.5970492996689885</v>
      </c>
      <c r="FN26" s="136">
        <f t="shared" si="377"/>
        <v>1.8116432546313532</v>
      </c>
      <c r="FO26" s="110">
        <f t="shared" si="378"/>
        <v>1.8252852516227529</v>
      </c>
      <c r="FQ26">
        <v>0.95</v>
      </c>
      <c r="FR26" s="64">
        <f t="shared" si="264"/>
        <v>1.2087227968710625</v>
      </c>
      <c r="FS26" s="479"/>
      <c r="FT26" s="18"/>
      <c r="FU26" s="481"/>
      <c r="FV26" s="504"/>
      <c r="FW26" s="18"/>
      <c r="FX26" s="18"/>
      <c r="FY26" s="18"/>
      <c r="FZ26" s="18"/>
      <c r="GB26" s="18"/>
      <c r="GC26" s="481"/>
      <c r="GD26" s="8"/>
      <c r="GE26" s="8"/>
      <c r="GF26" s="8"/>
      <c r="GG26" s="8"/>
      <c r="GI26" s="18"/>
      <c r="GJ26" s="18"/>
      <c r="GK26" s="18"/>
      <c r="GL26" s="18"/>
      <c r="GM26" s="18"/>
      <c r="GN26" s="18"/>
      <c r="GO26" s="18"/>
      <c r="GP26" s="18"/>
    </row>
    <row r="27" spans="1:198" ht="15.6" x14ac:dyDescent="0.3">
      <c r="A27" s="54" t="s">
        <v>73</v>
      </c>
      <c r="B27" s="223">
        <f t="shared" ref="B27" si="389">Loa/0.3048</f>
        <v>39.370078740157481</v>
      </c>
      <c r="C27" s="55" t="s">
        <v>22</v>
      </c>
      <c r="D27" s="55"/>
      <c r="E27" s="55"/>
      <c r="F27" s="55"/>
      <c r="G27" s="56"/>
      <c r="H27" s="209"/>
      <c r="I27" s="126" t="str">
        <f>A27</f>
        <v>Havfrua</v>
      </c>
      <c r="J27" s="229"/>
      <c r="K27" s="119"/>
      <c r="L27" s="119"/>
      <c r="M27" s="95"/>
      <c r="N27" s="265"/>
      <c r="O27" s="169"/>
      <c r="P27" s="169"/>
      <c r="Q27" s="169">
        <v>23</v>
      </c>
      <c r="R27" s="169">
        <v>17</v>
      </c>
      <c r="S27" s="169">
        <v>8</v>
      </c>
      <c r="T27" s="169">
        <v>15</v>
      </c>
      <c r="U27" s="169">
        <v>40</v>
      </c>
      <c r="V27" s="181">
        <f>StorS-StorS/6</f>
        <v>33.333333333333336</v>
      </c>
      <c r="W27" s="181">
        <f>StorS-StorS/6*1.9</f>
        <v>27.333333333333336</v>
      </c>
      <c r="X27" s="169"/>
      <c r="Y27" s="169">
        <v>12</v>
      </c>
      <c r="Z27" s="169"/>
      <c r="AA27" s="169"/>
      <c r="AB27" s="169"/>
      <c r="AC27" s="169"/>
      <c r="AD27" s="169"/>
      <c r="AE27" s="270">
        <v>11</v>
      </c>
      <c r="AF27" s="296"/>
      <c r="AG27" s="377"/>
      <c r="AH27" s="296"/>
      <c r="AI27" s="377"/>
      <c r="AJ27" s="296" t="s">
        <v>244</v>
      </c>
      <c r="AK27" s="47">
        <f>VLOOKUP(AJ27,Skrogform!$1:$1048576,3,FALSE)</f>
        <v>0.96</v>
      </c>
      <c r="AL27" s="57">
        <v>12</v>
      </c>
      <c r="AM27" s="57">
        <v>11.3</v>
      </c>
      <c r="AN27" s="57">
        <v>3.8</v>
      </c>
      <c r="AO27" s="175">
        <v>2.1</v>
      </c>
      <c r="AP27" s="175">
        <v>16</v>
      </c>
      <c r="AQ27" s="57">
        <v>4</v>
      </c>
      <c r="AR27" s="57">
        <v>0.2</v>
      </c>
      <c r="AS27" s="281">
        <v>30</v>
      </c>
      <c r="AT27" s="281">
        <v>450</v>
      </c>
      <c r="AU27" s="281">
        <f>ROUND(Depl*10,-2)</f>
        <v>200</v>
      </c>
      <c r="AV27" s="281">
        <f>ROUND(Depl*10,-2)</f>
        <v>200</v>
      </c>
      <c r="AW27" s="270">
        <f>Depl+Diesel/1000+Vann/1000</f>
        <v>16.399999999999999</v>
      </c>
      <c r="AX27" s="281"/>
      <c r="AY27" s="98">
        <f>Bredde/(Loa+Lwl)*2</f>
        <v>0.3261802575107296</v>
      </c>
      <c r="AZ27" s="98">
        <f>(Kjøl+Ballast)/Depl</f>
        <v>0.26250000000000001</v>
      </c>
      <c r="BA27" s="288">
        <f>BA$7*((Depl-Kjøl-Ballast-VektMotor/1000-VektAnnet/1000)/Loa/Lwl/Bredde)</f>
        <v>0.95305658981977392</v>
      </c>
      <c r="BB27" s="98">
        <f>BB$7*(Depl/Loa/Lwl/Lwl)</f>
        <v>0.78409739148224089</v>
      </c>
      <c r="BC27" s="178">
        <f>BC$7*(Depl/Loa/Lwl/Bredde)</f>
        <v>0.86186087849205839</v>
      </c>
      <c r="BD27" s="98">
        <f>BD$7*Bredde/(Loa+Lwl)*2</f>
        <v>0.93049056255480178</v>
      </c>
      <c r="BE27" s="98">
        <f>BE$7*(Dypg/Lwl)</f>
        <v>1.0164678722585609</v>
      </c>
      <c r="BF27" s="58" t="s">
        <v>42</v>
      </c>
      <c r="BG27" s="296">
        <v>2</v>
      </c>
      <c r="BH27" s="296">
        <v>60</v>
      </c>
      <c r="BI27" s="47">
        <f t="shared" si="200"/>
        <v>0.98464621788028617</v>
      </c>
      <c r="BJ27" s="61"/>
      <c r="BK27" s="61"/>
      <c r="BM27" s="214"/>
      <c r="BN27" s="214" t="str">
        <f>$A27</f>
        <v>Havfrua</v>
      </c>
      <c r="BO27" s="10"/>
      <c r="BP27" s="10"/>
      <c r="BQ27" s="10"/>
      <c r="BR27" s="10"/>
      <c r="BS27" s="52"/>
      <c r="BT27" s="214" t="str">
        <f>$A27</f>
        <v>Havfrua</v>
      </c>
      <c r="BU27" s="10"/>
      <c r="BV27" s="10"/>
      <c r="BW27" s="10"/>
      <c r="BX27" s="10"/>
      <c r="BY27" s="10"/>
      <c r="BZ27" s="10"/>
      <c r="CA27" s="10"/>
      <c r="CB27" s="10"/>
      <c r="CC27" s="10"/>
      <c r="CD27" s="214"/>
      <c r="CE27" s="10"/>
      <c r="CF27" s="214" t="str">
        <f>$A27</f>
        <v>Havfrua</v>
      </c>
      <c r="CG27" s="212"/>
      <c r="CH27" s="212"/>
      <c r="CI27" s="119"/>
      <c r="CJ27" s="212"/>
      <c r="CK27" s="208"/>
      <c r="CL27" s="208" t="s">
        <v>26</v>
      </c>
      <c r="CM27" s="110" t="str">
        <f t="shared" si="234"/>
        <v>-</v>
      </c>
      <c r="CN27" s="64" t="str">
        <f>IF(SeilBeregnet=0,"-",(SeilBeregnet)^(1/2)*StHfaktor/(Depl+DeplTillegg/1000+Vann/1000+Diesel/1000*0.84)^(1/3))</f>
        <v>-</v>
      </c>
      <c r="CO27" s="64" t="str">
        <f t="shared" si="203"/>
        <v>-</v>
      </c>
      <c r="CP27" s="64" t="str">
        <f t="shared" si="204"/>
        <v>-</v>
      </c>
      <c r="CQ27" s="110" t="str">
        <f t="shared" si="205"/>
        <v>-</v>
      </c>
      <c r="CR27" s="172" t="str">
        <f t="shared" ref="CR27:CR66" si="390">IF(CS27=0,"-",IF(CH27="TBF","-",CR$7*CS27))</f>
        <v>-</v>
      </c>
      <c r="CS27" s="162"/>
      <c r="CT27" s="172" t="str">
        <f t="shared" ref="CT27:CT66" si="391">IF(CU27=0,"-",IF(CL27="TBF","-",CT$7*CU27))</f>
        <v>-</v>
      </c>
      <c r="CU27" s="164"/>
      <c r="CV27" s="195" t="s">
        <v>145</v>
      </c>
      <c r="CW27" s="30" t="s">
        <v>26</v>
      </c>
      <c r="CX27" s="30" t="s">
        <v>26</v>
      </c>
      <c r="CY27" s="30" t="s">
        <v>26</v>
      </c>
      <c r="CZ27" s="153">
        <v>2022</v>
      </c>
      <c r="DA27" s="64" t="str">
        <f t="shared" ref="DA27:DA197" si="392">IF(SeilBeregnet=0,"-",((Dypg/(Lwl+DA$6-Bredde*DA$5))^(1/DA$4)*5)*DA$3*DA$7)</f>
        <v>-</v>
      </c>
      <c r="DB27" s="49">
        <f t="shared" ref="DB27:DB197" si="393">(Dypg/(Lwl+Bredde+DB$8)*100)</f>
        <v>13.043478260869565</v>
      </c>
      <c r="DC27" s="50">
        <f t="shared" ref="DC27:DC64" si="394">DB$7*IF(DB27&lt;DB$5,-0.04,IF(DB27&lt;DB$5*1.1,-0.03,IF(DB27&lt;DB$5*1.2,-0.02,IF(DB27&lt;DB$5*1.3,-0.01,0))))</f>
        <v>0</v>
      </c>
      <c r="DE27" s="110" t="str">
        <f>IF(SeilBeregnet=0,"-",DE$7*(DG:DG+DE$6)*DL:DL*PropF+ErfaringsF+Dyp_F)</f>
        <v>-</v>
      </c>
      <c r="DF27" s="144" t="str">
        <f t="shared" si="257"/>
        <v>-</v>
      </c>
      <c r="DG27" s="110" t="e">
        <f t="shared" ref="DG27:DG64" si="395">SUM(DH27:DK27)^DG$3+DG$7</f>
        <v>#REF!</v>
      </c>
      <c r="DH27" s="136" t="e">
        <f>IF(SeilBeregnet=0,#REF!,(SeilBeregnet^0.5/(Depl^0.3333))^DH$3*DH$7)</f>
        <v>#REF!</v>
      </c>
      <c r="DI27" s="136" t="e">
        <f>IF(SeilBeregnet=0,#REF!,(SeilBeregnet^0.5/Lwl)^DI$3*DI$7)</f>
        <v>#REF!</v>
      </c>
      <c r="DJ27" s="136" t="e">
        <f>IF(SeilBeregnet=0,#REF!,(0.1*Loa/Depl^0.3333)^DJ$3*DJ$7)</f>
        <v>#REF!</v>
      </c>
      <c r="DK27" s="136" t="e">
        <f>IF(SeilBeregnet=0,#REF!,((Loa)/Bredde)^DK$3*DK$7)</f>
        <v>#REF!</v>
      </c>
      <c r="DL27" s="110" t="e">
        <f>IF(SeilBeregnet=0,#REF!,(Lwl)^DL$3)</f>
        <v>#REF!</v>
      </c>
      <c r="DM27" s="136" t="e">
        <f>IF(SeilBeregnet=0,#REF!,(Dypg/Loa)^DM$3*5*DM$7)</f>
        <v>#REF!</v>
      </c>
      <c r="DO27" s="110" t="str">
        <f t="shared" si="258"/>
        <v>-</v>
      </c>
      <c r="DP27" s="110" t="str">
        <f t="shared" ref="DP27:DP197" si="396">IF(SeilBeregnet=0,"-",DP$7*(DP$4*SeilBeregnet^0.5/(Depl^0.33333*Bredde*Lwl)^0.3333*((Loa*0.03+Lwl*0.07)^0.33)*PropF+DP$6)+ErfaringsF+Dyp_F)</f>
        <v>-</v>
      </c>
      <c r="DR27" s="110" t="str">
        <f t="shared" ref="DR27:DR197" si="397">IF(SeilBeregnet=0,"-",DR$7*(DR$4*SeilBeregnet^0.5/(Depl^0.33333*Bredde*Lwl)^0.3333*Lwl^0.3333*((Loa+Lwl)/Bredde/6)^0.25*PropF+DR$6)+ErfaringsF+Dyp_F)</f>
        <v>-</v>
      </c>
      <c r="DS27" s="125" t="str">
        <f t="shared" si="259"/>
        <v>-</v>
      </c>
      <c r="DT27" s="110" t="str">
        <f t="shared" ref="DT27:DT64" si="398">IF(SeilBeregnet=0,"-",DT$7*(DT$4*DV27*DW27*DX27*PropF+DT$6)+ErfaringsF+Dyp_F)</f>
        <v>-</v>
      </c>
      <c r="DU27" s="125" t="str">
        <f t="shared" si="260"/>
        <v>-</v>
      </c>
      <c r="DV27" s="110" t="e">
        <f>IF(SeilBeregnet=0,#REF!,SeilBeregnet^0.5/Depl^0.33333)</f>
        <v>#REF!</v>
      </c>
      <c r="DW27" s="110" t="e">
        <f>IF(SeilBeregnet=0,#REF!,Lwl^0.3333)</f>
        <v>#REF!</v>
      </c>
      <c r="DX27" s="110" t="e">
        <f>IF(SeilBeregnet=0,#REF!,((Loa+Lwl)/Bredde)^DX$3)</f>
        <v>#REF!</v>
      </c>
      <c r="DZ27" s="110" t="str">
        <f t="shared" ref="DZ27:DZ64" si="399">IF(SeilBeregnet=0,"-",DZ$7*(DZ$4*EB27*EC27*ED27*PropF+DZ$6)+ErfaringsF+Dyp_F)</f>
        <v>-</v>
      </c>
      <c r="EB27" s="110" t="e">
        <f>IF(SeilBeregnet=0,#REF!,SeilBeregnet^0.5/Depl^0.33333)</f>
        <v>#REF!</v>
      </c>
      <c r="EC27" s="110" t="e">
        <f>IF(SeilBeregnet=0,#REF!,Lwl^EC$3)</f>
        <v>#REF!</v>
      </c>
      <c r="ED27" s="110" t="e">
        <f>IF(SeilBeregnet=0,#REF!,((Loa+Lwl)/Bredde)^ED$3)</f>
        <v>#REF!</v>
      </c>
      <c r="EE27" s="110" t="str">
        <f t="shared" ref="EE27:EE64" si="400">IF(SeilBeregnet=0,"-",EE$7*(EE$4*EG27+EE$6)*EJ27*PropF+ErfaringsF+Dyp_F)</f>
        <v>-</v>
      </c>
      <c r="EG27" s="110" t="e">
        <f>IF(SeilBeregnet=0,#REF!,(EH27*EI27)^EG$3)</f>
        <v>#REF!</v>
      </c>
      <c r="EH27" s="110" t="e">
        <f>IF(SeilBeregnet=0,#REF!,SeilBeregnet^0.5/Depl^0.33333)</f>
        <v>#REF!</v>
      </c>
      <c r="EI27" s="110" t="e">
        <f>IF(SeilBeregnet=0,#REF!,((Loa+Lwl)/Bredde)^EI$3)</f>
        <v>#REF!</v>
      </c>
      <c r="EJ27" s="110" t="e">
        <f>IF(SeilBeregnet=0,#REF!,Lwl^EJ$3)</f>
        <v>#REF!</v>
      </c>
      <c r="EK27" s="110" t="str">
        <f>IF(SeilBeregnet=0,"-",EK$7*(EK$4*EM:EM+EK$6)*EP:EP*PropF+ErfaringsF+Dyp_F)</f>
        <v>-</v>
      </c>
      <c r="EM27" s="110" t="e">
        <f>IF(SeilBeregnet=0,#REF!,(EN:EN*EO:EO)^EM$3)</f>
        <v>#REF!</v>
      </c>
      <c r="EN27" s="110" t="e">
        <f>IF(SeilBeregnet=0,#REF!,SeilBeregnet^0.5/Depl^0.33333)</f>
        <v>#REF!</v>
      </c>
      <c r="EO27" s="110" t="e">
        <f>IF(SeilBeregnet=0,#REF!,((Loa+Lwl)/Bredde/6)^EO$3)</f>
        <v>#REF!</v>
      </c>
      <c r="EP27" s="110" t="e">
        <f>IF(SeilBeregnet=0,#REF!,(Lwl*0.7+Loa*0.3)^EP$3)</f>
        <v>#REF!</v>
      </c>
      <c r="EQ27" s="110" t="str">
        <f>IF(SeilBeregnet=0,"-",EQ$7*(ES:ES+EQ$6)*EV:EV*PropF+ErfaringsF+Dyp_F)</f>
        <v>-</v>
      </c>
      <c r="ES27" s="110" t="e">
        <f>(ET:ET*EU:EU)^ES$3</f>
        <v>#REF!</v>
      </c>
      <c r="ET27" s="110" t="e">
        <f>IF(SeilBeregnet=0,#REF!,SeilBeregnet^0.5/Depl^0.3333)</f>
        <v>#REF!</v>
      </c>
      <c r="EU27" s="110" t="e">
        <f>IF(SeilBeregnet=0,#REF!,((Loa+Lwl)/Bredde/6)^EU$3)</f>
        <v>#REF!</v>
      </c>
      <c r="EV27" s="110" t="e">
        <f>IF(SeilBeregnet=0,#REF!,(Lwl*0.7+Loa*0.3)^EV$3)</f>
        <v>#REF!</v>
      </c>
      <c r="EW27" s="110" t="str">
        <f>IF(SeilBeregnet=0,"-",EW$7*(EY:EY+EW$6)*FB:FB*PropF+ErfaringsF+Dyp_F)</f>
        <v>-</v>
      </c>
      <c r="EX27" s="144" t="str">
        <f t="shared" si="261"/>
        <v>-</v>
      </c>
      <c r="EY27" s="110" t="e">
        <f>(EZ:EZ*FA:FA)^EY$3</f>
        <v>#REF!</v>
      </c>
      <c r="EZ27" s="136" t="e">
        <f>IF(SeilBeregnet=0,#REF!,(SeilBeregnet^0.5/(Depl^0.3333))^EZ$3)</f>
        <v>#REF!</v>
      </c>
      <c r="FA27" s="136" t="e">
        <f>IF(SeilBeregnet=0,#REF!,((Loa+Lwl)/Bredde/6)^FA$3)</f>
        <v>#REF!</v>
      </c>
      <c r="FB27" s="110" t="e">
        <f>IF(SeilBeregnet=0,#REF!,(Lwl*0.07+Loa*0.03)^FB$3)</f>
        <v>#REF!</v>
      </c>
      <c r="FC27" s="110" t="str">
        <f>IF(SeilBeregnet=0,"-",FC$7*(FE:FE+FC$6)*FI:FI*PropF+ErfaringsF+Dyp_F)</f>
        <v>-</v>
      </c>
      <c r="FD27" s="144" t="str">
        <f t="shared" si="262"/>
        <v>-</v>
      </c>
      <c r="FE27" s="110" t="e">
        <f>(FF:FF+FG:FG+FH:FH)^FE$3+FE$7</f>
        <v>#REF!</v>
      </c>
      <c r="FF27" s="136" t="e">
        <f>IF(SeilBeregnet=0,#REF!,(SeilBeregnet^0.5/(Depl^0.3333))^FF$3)</f>
        <v>#REF!</v>
      </c>
      <c r="FG27" s="136" t="e">
        <f>IF(SeilBeregnet=0,#REF!,(SeilBeregnet^0.5/Lwl*FG$7)^FG$3)</f>
        <v>#REF!</v>
      </c>
      <c r="FH27" s="136" t="e">
        <f>IF(SeilBeregnet=0,#REF!,((Loa)/Bredde)^FH$3*FH$7)</f>
        <v>#REF!</v>
      </c>
      <c r="FI27" s="110" t="e">
        <f>IF(SeilBeregnet=0,#REF!,(Lwl)^FI$3)</f>
        <v>#REF!</v>
      </c>
      <c r="FJ27" s="110" t="str">
        <f>IF(SeilBeregnet=0,"-",FJ$7*(FL:FL+FJ$6)*FO:FO*PropF+ErfaringsF+Dyp_F)</f>
        <v>-</v>
      </c>
      <c r="FK27" s="144" t="str">
        <f t="shared" si="263"/>
        <v>-</v>
      </c>
      <c r="FL27" s="110" t="e">
        <f>(FM:FM*FN:FN)^FL$3</f>
        <v>#REF!</v>
      </c>
      <c r="FM27" s="136" t="e">
        <f>IF(SeilBeregnet=0,#REF!,(SeilBeregnet^0.5/(Depl^0.3333))^FM$3)</f>
        <v>#REF!</v>
      </c>
      <c r="FN27" s="136" t="e">
        <f>IF(SeilBeregnet=0,#REF!,(Loa/Bredde)^FN$3)</f>
        <v>#REF!</v>
      </c>
      <c r="FO27" s="110" t="e">
        <f>IF(SeilBeregnet=0,#REF!,Lwl^FO$3)</f>
        <v>#REF!</v>
      </c>
      <c r="FQ27">
        <v>0.95</v>
      </c>
      <c r="FR27" s="64" t="str">
        <f t="shared" si="264"/>
        <v>-</v>
      </c>
      <c r="FS27" s="480" t="s">
        <v>490</v>
      </c>
      <c r="FT27" s="59" t="s">
        <v>74</v>
      </c>
      <c r="FU27" s="475" t="s">
        <v>689</v>
      </c>
      <c r="FV27" s="506" t="s">
        <v>75</v>
      </c>
      <c r="FW27" s="59"/>
      <c r="FX27" s="59" t="s">
        <v>572</v>
      </c>
      <c r="FY27" s="59" t="s">
        <v>455</v>
      </c>
      <c r="FZ27" s="59" t="s">
        <v>572</v>
      </c>
      <c r="GB27" s="59" t="s">
        <v>522</v>
      </c>
      <c r="GC27" s="475" t="s">
        <v>522</v>
      </c>
      <c r="GD27" s="60" t="s">
        <v>522</v>
      </c>
      <c r="GE27" s="60" t="s">
        <v>522</v>
      </c>
      <c r="GF27" s="60" t="s">
        <v>522</v>
      </c>
      <c r="GG27" s="60" t="s">
        <v>522</v>
      </c>
      <c r="GI27" s="59" t="s">
        <v>514</v>
      </c>
      <c r="GJ27" s="59" t="s">
        <v>591</v>
      </c>
      <c r="GK27" s="59" t="s">
        <v>497</v>
      </c>
      <c r="GL27" s="59" t="s">
        <v>592</v>
      </c>
      <c r="GM27" s="59">
        <v>1945</v>
      </c>
      <c r="GN27" s="59" t="s">
        <v>587</v>
      </c>
      <c r="GO27" s="59" t="s">
        <v>593</v>
      </c>
      <c r="GP27" s="59" t="s">
        <v>522</v>
      </c>
    </row>
    <row r="28" spans="1:198" ht="15.6" x14ac:dyDescent="0.3">
      <c r="A28" s="62" t="s">
        <v>31</v>
      </c>
      <c r="B28" s="223"/>
      <c r="C28" s="63" t="str">
        <f>C27</f>
        <v>Gaffel</v>
      </c>
      <c r="D28" s="63"/>
      <c r="E28" s="63"/>
      <c r="F28" s="63"/>
      <c r="G28" s="56"/>
      <c r="H28" s="209">
        <f>TBFavrundet</f>
        <v>93.5</v>
      </c>
      <c r="I28" s="65">
        <f>COUNTA(O28:AD28)</f>
        <v>4</v>
      </c>
      <c r="J28" s="228">
        <f>SUM(O28:AD28)</f>
        <v>90</v>
      </c>
      <c r="K28" s="119">
        <f>Seilareal/Depl^0.667/K$7</f>
        <v>1.294785544036881</v>
      </c>
      <c r="L28" s="119">
        <f>Seilareal/Lwl/Lwl/L$7</f>
        <v>1.0694551994670094</v>
      </c>
      <c r="M28" s="95">
        <f>RiggF</f>
        <v>0.7944444444444444</v>
      </c>
      <c r="N28" s="265">
        <f>StHfaktor</f>
        <v>0.99664221838488598</v>
      </c>
      <c r="O28" s="147"/>
      <c r="P28" s="147"/>
      <c r="Q28" s="169">
        <v>23</v>
      </c>
      <c r="R28" s="147"/>
      <c r="S28" s="147"/>
      <c r="T28" s="169">
        <v>15</v>
      </c>
      <c r="U28" s="169">
        <v>40</v>
      </c>
      <c r="V28" s="148"/>
      <c r="W28" s="148"/>
      <c r="X28" s="148"/>
      <c r="Y28" s="169">
        <v>12</v>
      </c>
      <c r="Z28" s="147"/>
      <c r="AA28" s="147"/>
      <c r="AB28" s="147"/>
      <c r="AC28" s="147"/>
      <c r="AD28" s="147"/>
      <c r="AE28" s="260">
        <f t="shared" ref="AE28" si="401">AE27</f>
        <v>11</v>
      </c>
      <c r="AF28" s="375">
        <f t="shared" ref="AF28:AH30" si="402" xml:space="preserve"> AF27</f>
        <v>0</v>
      </c>
      <c r="AG28" s="377"/>
      <c r="AH28" s="375">
        <f t="shared" si="402"/>
        <v>0</v>
      </c>
      <c r="AI28" s="377"/>
      <c r="AJ28" s="295" t="str">
        <f t="shared" ref="AJ28" si="403" xml:space="preserve"> AJ27</f>
        <v>Kutter</v>
      </c>
      <c r="AK28" s="47">
        <f>VLOOKUP(AJ28,Skrogform!$1:$1048576,3,FALSE)</f>
        <v>0.96</v>
      </c>
      <c r="AL28" s="66">
        <f t="shared" ref="AL28:AT29" si="404">AL27</f>
        <v>12</v>
      </c>
      <c r="AM28" s="66">
        <f t="shared" si="404"/>
        <v>11.3</v>
      </c>
      <c r="AN28" s="66">
        <f t="shared" si="404"/>
        <v>3.8</v>
      </c>
      <c r="AO28" s="66">
        <f t="shared" si="404"/>
        <v>2.1</v>
      </c>
      <c r="AP28" s="66">
        <f t="shared" si="404"/>
        <v>16</v>
      </c>
      <c r="AQ28" s="66">
        <f t="shared" si="404"/>
        <v>4</v>
      </c>
      <c r="AR28" s="66">
        <f t="shared" si="404"/>
        <v>0.2</v>
      </c>
      <c r="AS28" s="284">
        <f t="shared" si="404"/>
        <v>30</v>
      </c>
      <c r="AT28" s="284">
        <f t="shared" si="404"/>
        <v>450</v>
      </c>
      <c r="AU28" s="284">
        <f t="shared" ref="AU28:AV28" si="405">AU27</f>
        <v>200</v>
      </c>
      <c r="AV28" s="284">
        <f t="shared" si="405"/>
        <v>200</v>
      </c>
      <c r="AW28" s="284"/>
      <c r="AX28" s="284">
        <f>AX27</f>
        <v>0</v>
      </c>
      <c r="AY28" s="98"/>
      <c r="AZ28" s="98"/>
      <c r="BA28" s="288"/>
      <c r="BB28" s="98"/>
      <c r="BC28" s="178"/>
      <c r="BD28" s="98"/>
      <c r="BE28" s="98"/>
      <c r="BF28" s="67" t="str">
        <f t="shared" ref="BF28:BH28" si="406" xml:space="preserve"> BF27</f>
        <v>Fast</v>
      </c>
      <c r="BG28" s="295">
        <f t="shared" si="406"/>
        <v>2</v>
      </c>
      <c r="BH28" s="295">
        <f t="shared" si="406"/>
        <v>60</v>
      </c>
      <c r="BI28" s="47">
        <f t="shared" si="200"/>
        <v>0.98464621788028617</v>
      </c>
      <c r="BJ28" s="61"/>
      <c r="BK28" s="61"/>
      <c r="BM28" s="51">
        <f t="shared" ref="BM28:BR30" si="407">IF(O28=0,0,O28*BM$9)</f>
        <v>0</v>
      </c>
      <c r="BN28" s="51">
        <f t="shared" si="407"/>
        <v>0</v>
      </c>
      <c r="BO28" s="51">
        <f t="shared" si="407"/>
        <v>23</v>
      </c>
      <c r="BP28" s="51">
        <f t="shared" si="407"/>
        <v>0</v>
      </c>
      <c r="BQ28" s="51">
        <f t="shared" si="407"/>
        <v>0</v>
      </c>
      <c r="BR28" s="51">
        <f t="shared" si="407"/>
        <v>15</v>
      </c>
      <c r="BS28" s="52">
        <f>IF(COUNT(P28:T28)&gt;1,MINA(P28:T28)*BS$9,0)</f>
        <v>-4.5</v>
      </c>
      <c r="BT28" s="88">
        <f t="shared" ref="BT28:CC30" si="408">IF(U28=0,0,U28*BT$9)</f>
        <v>32</v>
      </c>
      <c r="BU28" s="88">
        <f t="shared" si="408"/>
        <v>0</v>
      </c>
      <c r="BV28" s="88">
        <f t="shared" si="408"/>
        <v>0</v>
      </c>
      <c r="BW28" s="88">
        <f t="shared" si="408"/>
        <v>0</v>
      </c>
      <c r="BX28" s="88">
        <f t="shared" si="408"/>
        <v>6</v>
      </c>
      <c r="BY28" s="88">
        <f t="shared" si="408"/>
        <v>0</v>
      </c>
      <c r="BZ28" s="88">
        <f t="shared" si="408"/>
        <v>0</v>
      </c>
      <c r="CA28" s="88">
        <f t="shared" si="408"/>
        <v>0</v>
      </c>
      <c r="CB28" s="88">
        <f t="shared" si="408"/>
        <v>0</v>
      </c>
      <c r="CC28" s="88">
        <f t="shared" si="408"/>
        <v>0</v>
      </c>
      <c r="CD28" s="103">
        <f>SUM(BM28:CC28)</f>
        <v>71.5</v>
      </c>
      <c r="CE28" s="52"/>
      <c r="CF28" s="107">
        <f>J28</f>
        <v>90</v>
      </c>
      <c r="CG28" s="104">
        <f>CD28/CF28</f>
        <v>0.7944444444444444</v>
      </c>
      <c r="CH28" s="53">
        <f>Seilareal/Lwl/Lwl</f>
        <v>0.70483201503641624</v>
      </c>
      <c r="CI28" s="119">
        <f>Seilareal/Depl^0.667/K$7</f>
        <v>1.294785544036881</v>
      </c>
      <c r="CJ28" s="53">
        <f>Seilareal/Lwl/Lwl/SApRS1</f>
        <v>1.0694551994670094</v>
      </c>
      <c r="CK28" s="209"/>
      <c r="CL28" s="209">
        <f>(ROUND(TBF/CL$6,3)*CL$6)*CL$4</f>
        <v>93.5</v>
      </c>
      <c r="CM28" s="110">
        <f t="shared" si="234"/>
        <v>0.93333223682612976</v>
      </c>
      <c r="CN28" s="64">
        <f>IF(SeilBeregnet=0,"-",(SeilBeregnet)^(1/2)*StHfaktor/(Depl+DeplTillegg/1000+Vann/1000+Diesel/1000*0.84)^(1/3))</f>
        <v>3.3057418747489931</v>
      </c>
      <c r="CO28" s="64">
        <f t="shared" si="203"/>
        <v>1.7509395973831339</v>
      </c>
      <c r="CP28" s="64">
        <f t="shared" si="204"/>
        <v>1.8334522799337654</v>
      </c>
      <c r="CQ28" s="110">
        <f t="shared" si="205"/>
        <v>0.99664221838488598</v>
      </c>
      <c r="CR28" s="172" t="str">
        <f t="shared" si="390"/>
        <v>-</v>
      </c>
      <c r="CS28" s="163"/>
      <c r="CT28" s="172" t="str">
        <f t="shared" si="391"/>
        <v>-</v>
      </c>
      <c r="CU28" s="163"/>
      <c r="CV28" s="195" t="s">
        <v>145</v>
      </c>
      <c r="CW28" s="64">
        <v>0.9</v>
      </c>
      <c r="CX28" s="64">
        <v>0.89</v>
      </c>
      <c r="CY28" s="64">
        <v>0.92</v>
      </c>
      <c r="CZ28" s="154">
        <v>0.94</v>
      </c>
      <c r="DA28" s="64">
        <f t="shared" si="392"/>
        <v>2.0538457640993224</v>
      </c>
      <c r="DB28" s="49">
        <f t="shared" si="393"/>
        <v>13.043478260869565</v>
      </c>
      <c r="DC28" s="50">
        <f t="shared" si="394"/>
        <v>0</v>
      </c>
      <c r="DE28" s="110">
        <f>IF(SeilBeregnet=0,"-",DE$7*(DG:DG+DE$6)*DL:DL*PropF+ErfaringsF+Dyp_F)</f>
        <v>0.9359335693732671</v>
      </c>
      <c r="DF28" s="144">
        <f t="shared" si="257"/>
        <v>-3.6287510653951527</v>
      </c>
      <c r="DG28" s="110">
        <f t="shared" si="395"/>
        <v>5.1330302396684351</v>
      </c>
      <c r="DH28" s="136">
        <f t="shared" ref="DH28:DH64" si="409">IF(SeilBeregnet=0,DH27,(SeilBeregnet^0.5/(Depl^0.3333))^DH$3*DH$7)</f>
        <v>3.3559836063911579</v>
      </c>
      <c r="DI28" s="136">
        <f t="shared" ref="DI28:DI64" si="410">IF(SeilBeregnet=0,DI27,(SeilBeregnet^0.5/Lwl)^DI$3*DI$7)</f>
        <v>0</v>
      </c>
      <c r="DJ28" s="136">
        <f t="shared" ref="DJ28:DJ64" si="411">IF(SeilBeregnet=0,DJ27,(0.1*Loa/Depl^0.3333)^DJ$3*DJ$7)</f>
        <v>0</v>
      </c>
      <c r="DK28" s="136">
        <f t="shared" ref="DK28:DK64" si="412">IF(SeilBeregnet=0,DK27,((Loa)/Bredde)^DK$3*DK$7)</f>
        <v>1.7770466332772772</v>
      </c>
      <c r="DL28" s="110">
        <f t="shared" ref="DL28:DL64" si="413">IF(SeilBeregnet=0,DL27,(Lwl)^DL$3)</f>
        <v>1.8334522799337654</v>
      </c>
      <c r="DM28" s="136">
        <f t="shared" ref="DM28:DM64" si="414">IF(SeilBeregnet=0,DM27,(Dypg/Loa)^DM$3*5*DM$7)</f>
        <v>2.0916500663351889</v>
      </c>
      <c r="DO28" s="110">
        <f t="shared" si="258"/>
        <v>0.97222108002721863</v>
      </c>
      <c r="DP28" s="110">
        <f t="shared" si="396"/>
        <v>0.91968476795583642</v>
      </c>
      <c r="DQ28" s="125">
        <f>DP28-DO28</f>
        <v>-5.2536312071382207E-2</v>
      </c>
      <c r="DR28" s="110">
        <f t="shared" si="397"/>
        <v>0.92454418872820554</v>
      </c>
      <c r="DS28" s="125">
        <f t="shared" si="259"/>
        <v>-4.7676891299013091E-2</v>
      </c>
      <c r="DT28" s="110">
        <f t="shared" si="398"/>
        <v>0.95671527933851086</v>
      </c>
      <c r="DU28" s="125">
        <f t="shared" si="260"/>
        <v>-1.5505800688707772E-2</v>
      </c>
      <c r="DV28" s="110">
        <f t="shared" ref="DV28:DV46" si="415">IF(SeilBeregnet=0,DV27,SeilBeregnet^0.5/Depl^0.33333)</f>
        <v>3.355704475131088</v>
      </c>
      <c r="DW28" s="110">
        <f t="shared" ref="DW28:DW46" si="416">IF(SeilBeregnet=0,DW27,Lwl^0.3333)</f>
        <v>2.2438356573015867</v>
      </c>
      <c r="DX28" s="110">
        <f t="shared" ref="DX28:DX64" si="417">IF(SeilBeregnet=0,DX27,((Loa+Lwl)/Bredde)^DX$3)</f>
        <v>1.5735954135403782</v>
      </c>
      <c r="DZ28" s="110">
        <f t="shared" si="399"/>
        <v>0.95286617197431922</v>
      </c>
      <c r="EB28" s="110">
        <f t="shared" ref="EB28:EB46" si="418">IF(SeilBeregnet=0,EB27,SeilBeregnet^0.5/Depl^0.33333)</f>
        <v>3.355704475131088</v>
      </c>
      <c r="EC28" s="110">
        <f t="shared" ref="EC28:EC64" si="419">IF(SeilBeregnet=0,EC27,Lwl^EC$3)</f>
        <v>2.2439988890031217</v>
      </c>
      <c r="ED28" s="110">
        <f t="shared" ref="ED28:ED64" si="420">IF(SeilBeregnet=0,ED27,((Loa+Lwl)/Bredde)^ED$3)</f>
        <v>1.830197069920783</v>
      </c>
      <c r="EE28" s="110">
        <f t="shared" si="400"/>
        <v>0.94624918410857439</v>
      </c>
      <c r="EG28" s="110">
        <f t="shared" ref="EG28:EG64" si="421">IF(SeilBeregnet=0,EG27,(EH28*EI28)^EG$3)</f>
        <v>5.2805211712632021</v>
      </c>
      <c r="EH28" s="110">
        <f t="shared" ref="EH28:EH46" si="422">IF(SeilBeregnet=0,EH27,SeilBeregnet^0.5/Depl^0.33333)</f>
        <v>3.355704475131088</v>
      </c>
      <c r="EI28" s="110">
        <f t="shared" ref="EI28:EI64" si="423">IF(SeilBeregnet=0,EI27,((Loa+Lwl)/Bredde)^EI$3)</f>
        <v>1.5735954135403782</v>
      </c>
      <c r="EJ28" s="110">
        <f t="shared" ref="EJ28:EJ64" si="424">IF(SeilBeregnet=0,EJ27,Lwl^EJ$3)</f>
        <v>1.8334522799337654</v>
      </c>
      <c r="EK28" s="110">
        <f>IF(SeilBeregnet=0,"-",EK$7*(EK$4*EM:EM+EK$6)*EP:EP*PropF+ErfaringsF+Dyp_F)</f>
        <v>0.94135263421613724</v>
      </c>
      <c r="EM28" s="110">
        <f>IF(SeilBeregnet=0,EM27,(EN:EN*EO:EO)^EM$3)</f>
        <v>1.8368322158556216</v>
      </c>
      <c r="EN28" s="110">
        <f t="shared" ref="EN28:EN46" si="425">IF(SeilBeregnet=0,EN27,SeilBeregnet^0.5/Depl^0.33333)</f>
        <v>3.355704475131088</v>
      </c>
      <c r="EO28" s="110">
        <f t="shared" ref="EO28:EO64" si="426">IF(SeilBeregnet=0,EO27,((Loa+Lwl)/Bredde/6)^EO$3)</f>
        <v>1.0054379383551861</v>
      </c>
      <c r="EP28" s="110">
        <f t="shared" ref="EP28:EP64" si="427">IF(SeilBeregnet=0,EP27,(Lwl*0.7+Loa*0.3)^EP$3)</f>
        <v>1.8419118031918562</v>
      </c>
      <c r="EQ28" s="110">
        <f>IF(SeilBeregnet=0,"-",EQ$7*(ES:ES+EQ$6)*EV:EV*PropF+ErfaringsF+Dyp_F)</f>
        <v>0.91162150230274908</v>
      </c>
      <c r="ES28" s="110">
        <f>(ET:ET*EU:EU)^ES$3</f>
        <v>1.8369086091484597</v>
      </c>
      <c r="ET28" s="110">
        <f t="shared" ref="ET28:ET46" si="428">IF(SeilBeregnet=0,ET27,SeilBeregnet^0.5/Depl^0.3333)</f>
        <v>3.3559836063911579</v>
      </c>
      <c r="EU28" s="110">
        <f t="shared" ref="EU28:EU64" si="429">IF(SeilBeregnet=0,EU27,((Loa+Lwl)/Bredde/6)^EU$3)</f>
        <v>1.0054379383551861</v>
      </c>
      <c r="EV28" s="110">
        <f t="shared" ref="EV28:EV64" si="430">IF(SeilBeregnet=0,EV27,(Lwl*0.7+Loa*0.3)^EV$3)</f>
        <v>1.8419118031918562</v>
      </c>
      <c r="EW28" s="110">
        <f>IF(SeilBeregnet=0,"-",EW$7*(EY:EY+EW$6)*FB:FB*PropF+ErfaringsF+Dyp_F)</f>
        <v>0.94046345683529786</v>
      </c>
      <c r="EX28" s="144">
        <f t="shared" si="261"/>
        <v>-3.175762319192077</v>
      </c>
      <c r="EY28" s="110">
        <f>(EZ:EZ*FA:FA)^EY$3</f>
        <v>3.392582110709971</v>
      </c>
      <c r="EZ28" s="136">
        <f t="shared" ref="EZ28:EZ64" si="431">IF(SeilBeregnet=0,EZ27,(SeilBeregnet^0.5/(Depl^0.3333))^EZ$3)</f>
        <v>3.3559836063911579</v>
      </c>
      <c r="FA28" s="136">
        <f t="shared" ref="FA28:FA64" si="432">IF(SeilBeregnet=0,FA27,((Loa+Lwl)/Bredde/6)^FA$3)</f>
        <v>1.0109054478839272</v>
      </c>
      <c r="FB28" s="110">
        <f t="shared" ref="FB28:FB64" si="433">IF(SeilBeregnet=0,FB27,(Lwl*0.07+Loa*0.03)^FB$3)</f>
        <v>1.0357831242906539</v>
      </c>
      <c r="FC28" s="110">
        <f>IF(SeilBeregnet=0,"-",FC$7*(FE:FE+FC$6)*FI:FI*PropF+ErfaringsF+Dyp_F)</f>
        <v>0.93263249484218358</v>
      </c>
      <c r="FD28" s="144">
        <f t="shared" si="262"/>
        <v>-3.9588585185035052</v>
      </c>
      <c r="FE28" s="110">
        <f>(FF:FF+FG:FG+FH:FH)^FE$3+FE$7</f>
        <v>5.3813282275130261</v>
      </c>
      <c r="FF28" s="136">
        <f t="shared" ref="FF28:FF64" si="434">IF(SeilBeregnet=0,FF27,(SeilBeregnet^0.5/(Depl^0.3333))^FF$3)</f>
        <v>3.3559836063911579</v>
      </c>
      <c r="FG28" s="136">
        <f t="shared" ref="FG28:FG64" si="435">IF(SeilBeregnet=0,FG27,(SeilBeregnet^0.5/Lwl*FG$7)^FG$3)</f>
        <v>0.74829798784459123</v>
      </c>
      <c r="FH28" s="136">
        <f t="shared" ref="FH28:FH64" si="436">IF(SeilBeregnet=0,FH27,((Loa)/Bredde)^FH$3*FH$7)</f>
        <v>1.7770466332772772</v>
      </c>
      <c r="FI28" s="110">
        <f t="shared" ref="FI28:FI64" si="437">IF(SeilBeregnet=0,FI27,(Lwl)^FI$3)</f>
        <v>1.8334522799337654</v>
      </c>
      <c r="FJ28" s="110">
        <f>IF(SeilBeregnet=0,"-",FJ$7*(FL:FL+FJ$6)*FO:FO*PropF+ErfaringsF+Dyp_F)</f>
        <v>0.93535297163345588</v>
      </c>
      <c r="FK28" s="144">
        <f t="shared" si="263"/>
        <v>-3.6868108393762755</v>
      </c>
      <c r="FL28" s="110">
        <f>(FM:FM*FN:FN)^FL$3</f>
        <v>5.963739369071142</v>
      </c>
      <c r="FM28" s="136">
        <f t="shared" ref="FM28:FM64" si="438">IF(SeilBeregnet=0,FM27,(SeilBeregnet^0.5/(Depl^0.3333))^FM$3)</f>
        <v>3.3559836063911579</v>
      </c>
      <c r="FN28" s="136">
        <f t="shared" ref="FN28:FN64" si="439">IF(SeilBeregnet=0,FN27,(Loa/Bredde)^FN$3)</f>
        <v>1.7770466332772772</v>
      </c>
      <c r="FO28" s="110">
        <f t="shared" ref="FO28:FO64" si="440">IF(SeilBeregnet=0,FO27,Lwl^FO$3)</f>
        <v>1.8334522799337654</v>
      </c>
      <c r="FQ28">
        <v>0.95</v>
      </c>
      <c r="FR28" s="64">
        <f t="shared" si="264"/>
        <v>1.1769217627171114</v>
      </c>
      <c r="FS28" s="479"/>
      <c r="FT28" s="18"/>
      <c r="FU28" s="481"/>
      <c r="FV28" s="504"/>
      <c r="FW28" s="18"/>
      <c r="FX28" s="18"/>
      <c r="FY28" s="18"/>
      <c r="FZ28" s="18"/>
      <c r="GB28" s="18"/>
      <c r="GC28" s="481"/>
      <c r="GD28" s="8"/>
      <c r="GE28" s="8"/>
      <c r="GF28" s="8"/>
      <c r="GG28" s="8"/>
      <c r="GI28" s="18"/>
      <c r="GJ28" s="18"/>
      <c r="GK28" s="18"/>
      <c r="GL28" s="18"/>
      <c r="GM28" s="18"/>
      <c r="GN28" s="18"/>
      <c r="GO28" s="18"/>
      <c r="GP28" s="18"/>
    </row>
    <row r="29" spans="1:198" ht="15.6" x14ac:dyDescent="0.3">
      <c r="A29" s="62" t="s">
        <v>32</v>
      </c>
      <c r="B29" s="223"/>
      <c r="C29" s="14" t="str">
        <f>C27</f>
        <v>Gaffel</v>
      </c>
      <c r="G29" s="56"/>
      <c r="H29" s="209">
        <f>TBFavrundet</f>
        <v>90.5</v>
      </c>
      <c r="I29" s="65">
        <f>COUNTA(O29:AD29)</f>
        <v>3</v>
      </c>
      <c r="J29" s="228">
        <f>SUM(O29:AD29)</f>
        <v>78</v>
      </c>
      <c r="K29" s="119">
        <f>Seilareal/Depl^0.667/K$7</f>
        <v>1.1221474714986301</v>
      </c>
      <c r="L29" s="119">
        <f>Seilareal/Lwl/Lwl/L$7</f>
        <v>0.92686117287140823</v>
      </c>
      <c r="M29" s="95">
        <f>RiggF</f>
        <v>0.83974358974358976</v>
      </c>
      <c r="N29" s="265">
        <f>StHfaktor</f>
        <v>0.99664221838488598</v>
      </c>
      <c r="O29" s="147"/>
      <c r="P29" s="147"/>
      <c r="Q29" s="169">
        <v>23</v>
      </c>
      <c r="R29" s="147"/>
      <c r="S29" s="147"/>
      <c r="T29" s="169">
        <v>15</v>
      </c>
      <c r="U29" s="169">
        <v>40</v>
      </c>
      <c r="V29" s="148"/>
      <c r="W29" s="148"/>
      <c r="X29" s="148"/>
      <c r="Y29" s="147"/>
      <c r="Z29" s="147"/>
      <c r="AA29" s="147"/>
      <c r="AB29" s="147"/>
      <c r="AC29" s="147"/>
      <c r="AD29" s="147"/>
      <c r="AE29" s="260">
        <f t="shared" ref="AE29" si="441">AE28</f>
        <v>11</v>
      </c>
      <c r="AF29" s="375">
        <f t="shared" si="402"/>
        <v>0</v>
      </c>
      <c r="AG29" s="377"/>
      <c r="AH29" s="375">
        <f t="shared" si="402"/>
        <v>0</v>
      </c>
      <c r="AI29" s="377"/>
      <c r="AJ29" s="295" t="str">
        <f t="shared" ref="AJ29" si="442" xml:space="preserve"> AJ28</f>
        <v>Kutter</v>
      </c>
      <c r="AK29" s="47">
        <f>VLOOKUP(AJ29,Skrogform!$1:$1048576,3,FALSE)</f>
        <v>0.96</v>
      </c>
      <c r="AL29" s="66">
        <f t="shared" si="404"/>
        <v>12</v>
      </c>
      <c r="AM29" s="66">
        <f t="shared" si="404"/>
        <v>11.3</v>
      </c>
      <c r="AN29" s="66">
        <f t="shared" si="404"/>
        <v>3.8</v>
      </c>
      <c r="AO29" s="66">
        <f t="shared" si="404"/>
        <v>2.1</v>
      </c>
      <c r="AP29" s="66">
        <f t="shared" si="404"/>
        <v>16</v>
      </c>
      <c r="AQ29" s="66">
        <f t="shared" si="404"/>
        <v>4</v>
      </c>
      <c r="AR29" s="66">
        <f t="shared" si="404"/>
        <v>0.2</v>
      </c>
      <c r="AS29" s="284">
        <f t="shared" ref="AS29:AT29" si="443">AS28</f>
        <v>30</v>
      </c>
      <c r="AT29" s="284">
        <f t="shared" si="443"/>
        <v>450</v>
      </c>
      <c r="AU29" s="284">
        <f t="shared" ref="AU29:AV29" si="444">AU28</f>
        <v>200</v>
      </c>
      <c r="AV29" s="284">
        <f t="shared" si="444"/>
        <v>200</v>
      </c>
      <c r="AW29" s="284"/>
      <c r="AX29" s="284">
        <f>AX28</f>
        <v>0</v>
      </c>
      <c r="AY29" s="68"/>
      <c r="AZ29" s="68"/>
      <c r="BA29" s="289"/>
      <c r="BB29" s="68"/>
      <c r="BC29" s="179"/>
      <c r="BD29" s="68"/>
      <c r="BE29" s="68"/>
      <c r="BF29" s="67" t="str">
        <f t="shared" ref="BF29:BH29" si="445" xml:space="preserve"> BF28</f>
        <v>Fast</v>
      </c>
      <c r="BG29" s="295">
        <f t="shared" si="445"/>
        <v>2</v>
      </c>
      <c r="BH29" s="295">
        <f t="shared" si="445"/>
        <v>60</v>
      </c>
      <c r="BI29" s="47">
        <f t="shared" si="200"/>
        <v>0.98464621788028617</v>
      </c>
      <c r="BJ29" s="61"/>
      <c r="BK29" s="61"/>
      <c r="BM29" s="51">
        <f t="shared" si="407"/>
        <v>0</v>
      </c>
      <c r="BN29" s="51">
        <f t="shared" si="407"/>
        <v>0</v>
      </c>
      <c r="BO29" s="51">
        <f t="shared" si="407"/>
        <v>23</v>
      </c>
      <c r="BP29" s="51">
        <f t="shared" si="407"/>
        <v>0</v>
      </c>
      <c r="BQ29" s="51">
        <f t="shared" si="407"/>
        <v>0</v>
      </c>
      <c r="BR29" s="51">
        <f t="shared" si="407"/>
        <v>15</v>
      </c>
      <c r="BS29" s="52">
        <f>IF(COUNT(P29:T29)&gt;1,MINA(P29:T29)*BS$9,0)</f>
        <v>-4.5</v>
      </c>
      <c r="BT29" s="88">
        <f t="shared" si="408"/>
        <v>32</v>
      </c>
      <c r="BU29" s="88">
        <f t="shared" si="408"/>
        <v>0</v>
      </c>
      <c r="BV29" s="88">
        <f t="shared" si="408"/>
        <v>0</v>
      </c>
      <c r="BW29" s="88">
        <f t="shared" si="408"/>
        <v>0</v>
      </c>
      <c r="BX29" s="88">
        <f t="shared" si="408"/>
        <v>0</v>
      </c>
      <c r="BY29" s="88">
        <f t="shared" si="408"/>
        <v>0</v>
      </c>
      <c r="BZ29" s="88">
        <f t="shared" si="408"/>
        <v>0</v>
      </c>
      <c r="CA29" s="88">
        <f t="shared" si="408"/>
        <v>0</v>
      </c>
      <c r="CB29" s="88">
        <f t="shared" si="408"/>
        <v>0</v>
      </c>
      <c r="CC29" s="88">
        <f t="shared" si="408"/>
        <v>0</v>
      </c>
      <c r="CD29" s="103">
        <f>SUM(BM29:CC29)</f>
        <v>65.5</v>
      </c>
      <c r="CE29" s="52"/>
      <c r="CF29" s="107">
        <f>J29</f>
        <v>78</v>
      </c>
      <c r="CG29" s="104">
        <f>CD29/CF29</f>
        <v>0.83974358974358976</v>
      </c>
      <c r="CH29" s="53">
        <f>Seilareal/Lwl/Lwl</f>
        <v>0.61085441303156074</v>
      </c>
      <c r="CI29" s="119">
        <f>Seilareal/Depl^0.667/K$7</f>
        <v>1.1221474714986301</v>
      </c>
      <c r="CJ29" s="53">
        <f>Seilareal/Lwl/Lwl/SApRS1</f>
        <v>0.92686117287140823</v>
      </c>
      <c r="CK29" s="209"/>
      <c r="CL29" s="209">
        <f>(ROUND(TBF/CL$6,3)*CL$6)*CL$4</f>
        <v>90.5</v>
      </c>
      <c r="CM29" s="110">
        <f t="shared" si="234"/>
        <v>0.90717048894279995</v>
      </c>
      <c r="CN29" s="64">
        <f>IF(SeilBeregnet=0,"-",(SeilBeregnet)^(1/2)*StHfaktor/(Depl+DeplTillegg/1000+Vann/1000+Diesel/1000*0.84)^(1/3))</f>
        <v>3.1640006805842065</v>
      </c>
      <c r="CO29" s="64">
        <f t="shared" si="203"/>
        <v>1.7509395973831339</v>
      </c>
      <c r="CP29" s="64">
        <f t="shared" si="204"/>
        <v>1.8334522799337654</v>
      </c>
      <c r="CQ29" s="110">
        <f t="shared" si="205"/>
        <v>0.99664221838488598</v>
      </c>
      <c r="CR29" s="172" t="str">
        <f t="shared" si="390"/>
        <v>-</v>
      </c>
      <c r="CS29" s="162"/>
      <c r="CT29" s="172" t="str">
        <f t="shared" si="391"/>
        <v>-</v>
      </c>
      <c r="CU29" s="164"/>
      <c r="CV29" s="195" t="s">
        <v>145</v>
      </c>
      <c r="CW29" s="64">
        <v>0.88</v>
      </c>
      <c r="CX29" s="64">
        <v>0.87</v>
      </c>
      <c r="CY29" s="64">
        <v>0.89</v>
      </c>
      <c r="CZ29" s="154">
        <v>0.91</v>
      </c>
      <c r="DA29" s="64">
        <f t="shared" si="392"/>
        <v>2.0538457640993224</v>
      </c>
      <c r="DB29" s="49">
        <f t="shared" si="393"/>
        <v>13.043478260869565</v>
      </c>
      <c r="DC29" s="50">
        <f t="shared" si="394"/>
        <v>0</v>
      </c>
      <c r="DE29" s="110">
        <f>IF(SeilBeregnet=0,"-",DE$7*(DG:DG+DE$6)*DL:DL*PropF+ErfaringsF+Dyp_F)</f>
        <v>0.90969632739880224</v>
      </c>
      <c r="DF29" s="144" t="str">
        <f t="shared" ref="DF29:DF46" si="446">IF($DQ29=0,"-",(DE29-$DO29)*100)</f>
        <v>-</v>
      </c>
      <c r="DG29" s="110">
        <f t="shared" si="395"/>
        <v>4.9891348171005596</v>
      </c>
      <c r="DH29" s="136">
        <f t="shared" si="409"/>
        <v>3.212088183823282</v>
      </c>
      <c r="DI29" s="136">
        <f t="shared" si="410"/>
        <v>0</v>
      </c>
      <c r="DJ29" s="136">
        <f t="shared" si="411"/>
        <v>0</v>
      </c>
      <c r="DK29" s="136">
        <f t="shared" si="412"/>
        <v>1.7770466332772772</v>
      </c>
      <c r="DL29" s="110">
        <f t="shared" si="413"/>
        <v>1.8334522799337654</v>
      </c>
      <c r="DM29" s="136">
        <f t="shared" si="414"/>
        <v>2.0916500663351889</v>
      </c>
      <c r="DO29" s="110">
        <f t="shared" si="258"/>
        <v>0.94496925931541653</v>
      </c>
      <c r="DP29" s="110">
        <f t="shared" si="396"/>
        <v>0.88871138018430829</v>
      </c>
      <c r="DR29" s="110">
        <f t="shared" si="397"/>
        <v>0.89930589575686826</v>
      </c>
      <c r="DS29" s="125" t="str">
        <f t="shared" ref="DS29:DS46" si="447">IF($DQ29=0,"-",DR29-$DO29)</f>
        <v>-</v>
      </c>
      <c r="DT29" s="110">
        <f t="shared" si="398"/>
        <v>0.92536707118482242</v>
      </c>
      <c r="DU29" s="125" t="str">
        <f t="shared" ref="DU29:DU46" si="448">IF($DQ29=0,"-",DT29-$DO29)</f>
        <v>-</v>
      </c>
      <c r="DV29" s="110">
        <f t="shared" si="415"/>
        <v>3.2118210209502278</v>
      </c>
      <c r="DW29" s="110">
        <f t="shared" si="416"/>
        <v>2.2438356573015867</v>
      </c>
      <c r="DX29" s="110">
        <f t="shared" si="417"/>
        <v>1.5735954135403782</v>
      </c>
      <c r="DZ29" s="110">
        <f t="shared" si="399"/>
        <v>0.92453598241334012</v>
      </c>
      <c r="EB29" s="110">
        <f t="shared" si="418"/>
        <v>3.2118210209502278</v>
      </c>
      <c r="EC29" s="110">
        <f t="shared" si="419"/>
        <v>2.2439988890031217</v>
      </c>
      <c r="ED29" s="110">
        <f t="shared" si="420"/>
        <v>1.830197069920783</v>
      </c>
      <c r="EE29" s="110">
        <f t="shared" si="400"/>
        <v>0.9168221166162277</v>
      </c>
      <c r="EG29" s="110">
        <f t="shared" si="421"/>
        <v>5.0541068276798535</v>
      </c>
      <c r="EH29" s="110">
        <f t="shared" si="422"/>
        <v>3.2118210209502278</v>
      </c>
      <c r="EI29" s="110">
        <f t="shared" si="423"/>
        <v>1.5735954135403782</v>
      </c>
      <c r="EJ29" s="110">
        <f t="shared" si="424"/>
        <v>1.8334522799337654</v>
      </c>
      <c r="EK29" s="110">
        <f>IF(SeilBeregnet=0,"-",EK$7*(EK$4*EM:EM+EK$6)*EP:EP*PropF+ErfaringsF+Dyp_F)</f>
        <v>0.91331934172929807</v>
      </c>
      <c r="EM29" s="110">
        <f>IF(SeilBeregnet=0,EM28,(EN:EN*EO:EO)^EM$3)</f>
        <v>1.7970216208131848</v>
      </c>
      <c r="EN29" s="110">
        <f t="shared" si="425"/>
        <v>3.2118210209502278</v>
      </c>
      <c r="EO29" s="110">
        <f t="shared" si="426"/>
        <v>1.0054379383551861</v>
      </c>
      <c r="EP29" s="110">
        <f t="shared" si="427"/>
        <v>1.8419118031918562</v>
      </c>
      <c r="EQ29" s="110">
        <f>IF(SeilBeregnet=0,"-",EQ$7*(ES:ES+EQ$6)*EV:EV*PropF+ErfaringsF+Dyp_F)</f>
        <v>0.89186346771097924</v>
      </c>
      <c r="ES29" s="110">
        <f>(ET:ET*EU:EU)^ES$3</f>
        <v>1.7970963583954909</v>
      </c>
      <c r="ET29" s="110">
        <f t="shared" si="428"/>
        <v>3.212088183823282</v>
      </c>
      <c r="EU29" s="110">
        <f t="shared" si="429"/>
        <v>1.0054379383551861</v>
      </c>
      <c r="EV29" s="110">
        <f t="shared" si="430"/>
        <v>1.8419118031918562</v>
      </c>
      <c r="EW29" s="110">
        <f>IF(SeilBeregnet=0,"-",EW$7*(EY:EY+EW$6)*FB:FB*PropF+ErfaringsF+Dyp_F)</f>
        <v>0.915094496217009</v>
      </c>
      <c r="EX29" s="144" t="str">
        <f t="shared" ref="EX29:EX46" si="449">IF($DQ29=0,"-",(EW29-$DO29)*100)</f>
        <v>-</v>
      </c>
      <c r="EY29" s="110">
        <f>(EZ:EZ*FA:FA)^EY$3</f>
        <v>3.247117444110545</v>
      </c>
      <c r="EZ29" s="136">
        <f t="shared" si="431"/>
        <v>3.212088183823282</v>
      </c>
      <c r="FA29" s="136">
        <f t="shared" si="432"/>
        <v>1.0109054478839272</v>
      </c>
      <c r="FB29" s="110">
        <f t="shared" si="433"/>
        <v>1.0357831242906539</v>
      </c>
      <c r="FC29" s="110">
        <f>IF(SeilBeregnet=0,"-",FC$7*(FE:FE+FC$6)*FI:FI*PropF+ErfaringsF+Dyp_F)</f>
        <v>0.90213351174856193</v>
      </c>
      <c r="FD29" s="144" t="str">
        <f t="shared" ref="FD29:FD46" si="450">IF($DQ29=0,"-",(FC29-$DO29)*100)</f>
        <v>-</v>
      </c>
      <c r="FE29" s="110">
        <f>(FF:FF+FG:FG+FH:FH)^FE$3+FE$7</f>
        <v>5.2053478284385521</v>
      </c>
      <c r="FF29" s="136">
        <f t="shared" si="434"/>
        <v>3.212088183823282</v>
      </c>
      <c r="FG29" s="136">
        <f t="shared" si="435"/>
        <v>0.7162130113379932</v>
      </c>
      <c r="FH29" s="136">
        <f t="shared" si="436"/>
        <v>1.7770466332772772</v>
      </c>
      <c r="FI29" s="110">
        <f t="shared" si="437"/>
        <v>1.8334522799337654</v>
      </c>
      <c r="FJ29" s="110">
        <f>IF(SeilBeregnet=0,"-",FJ$7*(FL:FL+FJ$6)*FO:FO*PropF+ErfaringsF+Dyp_F)</f>
        <v>0.91134812281271715</v>
      </c>
      <c r="FK29" s="144" t="str">
        <f t="shared" ref="FK29:FK46" si="451">IF($DQ29=0,"-",(FJ29-$DO29)*100)</f>
        <v>-</v>
      </c>
      <c r="FL29" s="110">
        <f>(FM:FM*FN:FN)^FL$3</f>
        <v>5.7080304928528873</v>
      </c>
      <c r="FM29" s="136">
        <f t="shared" si="438"/>
        <v>3.212088183823282</v>
      </c>
      <c r="FN29" s="136">
        <f t="shared" si="439"/>
        <v>1.7770466332772772</v>
      </c>
      <c r="FO29" s="110">
        <f t="shared" si="440"/>
        <v>1.8334522799337654</v>
      </c>
      <c r="FQ29">
        <v>0.95</v>
      </c>
      <c r="FR29" s="64">
        <f t="shared" ref="FR29:FR46" si="452">IF(SeilBeregnet=0,"-",0.06*2.43^(1/2)*(SeilBeregnet^(1/2)/Depl^(1/3)+(Loa/Bredde)^(1/2)+5*(Dypg/Loa)^(1/2))*Lwl^(1/4)*FQ29)</f>
        <v>1.1534819334018942</v>
      </c>
      <c r="FS29" s="479"/>
      <c r="FT29" s="18"/>
      <c r="FU29" s="481"/>
      <c r="FV29" s="504"/>
      <c r="FW29" s="18"/>
      <c r="FX29" s="18"/>
      <c r="FY29" s="18"/>
      <c r="FZ29" s="18"/>
      <c r="GB29" s="18"/>
      <c r="GC29" s="481"/>
      <c r="GD29" s="8"/>
      <c r="GE29" s="8"/>
      <c r="GF29" s="8"/>
      <c r="GG29" s="8"/>
      <c r="GI29" s="18"/>
      <c r="GJ29" s="18"/>
      <c r="GK29" s="18"/>
      <c r="GL29" s="18"/>
      <c r="GM29" s="18"/>
      <c r="GN29" s="18"/>
      <c r="GO29" s="18"/>
      <c r="GP29" s="18"/>
    </row>
    <row r="30" spans="1:198" ht="15.6" x14ac:dyDescent="0.3">
      <c r="A30" s="62" t="s">
        <v>33</v>
      </c>
      <c r="B30" s="223"/>
      <c r="C30" s="14" t="str">
        <f>C28</f>
        <v>Gaffel</v>
      </c>
      <c r="G30" s="56"/>
      <c r="H30" s="209">
        <f>TBFavrundet</f>
        <v>87.999999999999986</v>
      </c>
      <c r="I30" s="65">
        <f>COUNTA(O30:AD30)</f>
        <v>3</v>
      </c>
      <c r="J30" s="228">
        <f>SUM(O30:AD30)</f>
        <v>72</v>
      </c>
      <c r="K30" s="119">
        <f>Seilareal/Depl^0.667/K$7</f>
        <v>1.0358284352295049</v>
      </c>
      <c r="L30" s="119">
        <f>Seilareal/Lwl/Lwl/L$7</f>
        <v>0.85556415957360765</v>
      </c>
      <c r="M30" s="95">
        <f>RiggF</f>
        <v>0.82638888888888884</v>
      </c>
      <c r="N30" s="265">
        <f>StHfaktor</f>
        <v>0.99664221838488598</v>
      </c>
      <c r="O30" s="147"/>
      <c r="P30" s="147"/>
      <c r="Q30" s="147"/>
      <c r="R30" s="169">
        <v>17</v>
      </c>
      <c r="S30" s="147"/>
      <c r="T30" s="169">
        <v>15</v>
      </c>
      <c r="U30" s="169">
        <v>40</v>
      </c>
      <c r="V30" s="148"/>
      <c r="W30" s="148"/>
      <c r="X30" s="148"/>
      <c r="Y30" s="147"/>
      <c r="Z30" s="147"/>
      <c r="AA30" s="147"/>
      <c r="AB30" s="147"/>
      <c r="AC30" s="147"/>
      <c r="AD30" s="147"/>
      <c r="AE30" s="260">
        <f t="shared" ref="AE30" si="453">AE29</f>
        <v>11</v>
      </c>
      <c r="AF30" s="375">
        <f t="shared" si="402"/>
        <v>0</v>
      </c>
      <c r="AG30" s="377"/>
      <c r="AH30" s="375">
        <f t="shared" si="402"/>
        <v>0</v>
      </c>
      <c r="AI30" s="377"/>
      <c r="AJ30" s="295" t="str">
        <f t="shared" ref="AJ30" si="454" xml:space="preserve"> AJ29</f>
        <v>Kutter</v>
      </c>
      <c r="AK30" s="47">
        <f>VLOOKUP(AJ30,Skrogform!$1:$1048576,3,FALSE)</f>
        <v>0.96</v>
      </c>
      <c r="AL30" s="66">
        <f t="shared" ref="AL30:AT30" si="455">AL29</f>
        <v>12</v>
      </c>
      <c r="AM30" s="66">
        <f t="shared" si="455"/>
        <v>11.3</v>
      </c>
      <c r="AN30" s="66">
        <f t="shared" si="455"/>
        <v>3.8</v>
      </c>
      <c r="AO30" s="66">
        <f t="shared" si="455"/>
        <v>2.1</v>
      </c>
      <c r="AP30" s="66">
        <f t="shared" si="455"/>
        <v>16</v>
      </c>
      <c r="AQ30" s="66">
        <f t="shared" si="455"/>
        <v>4</v>
      </c>
      <c r="AR30" s="66">
        <f t="shared" si="455"/>
        <v>0.2</v>
      </c>
      <c r="AS30" s="284">
        <f t="shared" si="455"/>
        <v>30</v>
      </c>
      <c r="AT30" s="284">
        <f t="shared" si="455"/>
        <v>450</v>
      </c>
      <c r="AU30" s="284">
        <f t="shared" ref="AU30:AV30" si="456">AU29</f>
        <v>200</v>
      </c>
      <c r="AV30" s="284">
        <f t="shared" si="456"/>
        <v>200</v>
      </c>
      <c r="AW30" s="284"/>
      <c r="AX30" s="284">
        <f>AX29</f>
        <v>0</v>
      </c>
      <c r="AY30" s="68"/>
      <c r="AZ30" s="68"/>
      <c r="BA30" s="289"/>
      <c r="BB30" s="68"/>
      <c r="BC30" s="179"/>
      <c r="BD30" s="68"/>
      <c r="BE30" s="68"/>
      <c r="BF30" s="67" t="str">
        <f xml:space="preserve"> BF29</f>
        <v>Fast</v>
      </c>
      <c r="BG30" s="295">
        <f xml:space="preserve"> BG29</f>
        <v>2</v>
      </c>
      <c r="BH30" s="295">
        <f xml:space="preserve"> BH29</f>
        <v>60</v>
      </c>
      <c r="BI30" s="47">
        <f t="shared" si="200"/>
        <v>0.98464621788028617</v>
      </c>
      <c r="BJ30" s="61"/>
      <c r="BK30" s="61"/>
      <c r="BM30" s="51">
        <f t="shared" si="407"/>
        <v>0</v>
      </c>
      <c r="BN30" s="51">
        <f t="shared" si="407"/>
        <v>0</v>
      </c>
      <c r="BO30" s="51">
        <f t="shared" si="407"/>
        <v>0</v>
      </c>
      <c r="BP30" s="51">
        <f t="shared" si="407"/>
        <v>17</v>
      </c>
      <c r="BQ30" s="51">
        <f t="shared" si="407"/>
        <v>0</v>
      </c>
      <c r="BR30" s="51">
        <f t="shared" si="407"/>
        <v>15</v>
      </c>
      <c r="BS30" s="52">
        <f>IF(COUNT(P30:T30)&gt;1,MINA(P30:T30)*BS$9,0)</f>
        <v>-4.5</v>
      </c>
      <c r="BT30" s="88">
        <f t="shared" si="408"/>
        <v>32</v>
      </c>
      <c r="BU30" s="88">
        <f t="shared" si="408"/>
        <v>0</v>
      </c>
      <c r="BV30" s="88">
        <f t="shared" si="408"/>
        <v>0</v>
      </c>
      <c r="BW30" s="88">
        <f t="shared" si="408"/>
        <v>0</v>
      </c>
      <c r="BX30" s="88">
        <f t="shared" si="408"/>
        <v>0</v>
      </c>
      <c r="BY30" s="88">
        <f t="shared" si="408"/>
        <v>0</v>
      </c>
      <c r="BZ30" s="88">
        <f t="shared" si="408"/>
        <v>0</v>
      </c>
      <c r="CA30" s="88">
        <f t="shared" si="408"/>
        <v>0</v>
      </c>
      <c r="CB30" s="88">
        <f t="shared" si="408"/>
        <v>0</v>
      </c>
      <c r="CC30" s="88">
        <f t="shared" si="408"/>
        <v>0</v>
      </c>
      <c r="CD30" s="103">
        <f>SUM(BM30:CC30)</f>
        <v>59.5</v>
      </c>
      <c r="CE30" s="52"/>
      <c r="CF30" s="107">
        <f>J30</f>
        <v>72</v>
      </c>
      <c r="CG30" s="104">
        <f>CD30/CF30</f>
        <v>0.82638888888888884</v>
      </c>
      <c r="CH30" s="53">
        <f>Seilareal/Lwl/Lwl</f>
        <v>0.56386561202913299</v>
      </c>
      <c r="CI30" s="119">
        <f>Seilareal/Depl^0.667/K$7</f>
        <v>1.0358284352295049</v>
      </c>
      <c r="CJ30" s="53">
        <f>Seilareal/Lwl/Lwl/SApRS1</f>
        <v>0.85556415957360765</v>
      </c>
      <c r="CK30" s="209"/>
      <c r="CL30" s="209">
        <f>(ROUND(TBF/CL$6,3)*CL$6)*CL$4</f>
        <v>87.999999999999986</v>
      </c>
      <c r="CM30" s="110">
        <f t="shared" si="234"/>
        <v>0.87978042676941859</v>
      </c>
      <c r="CN30" s="64">
        <f>IF(SeilBeregnet=0,"-",(SeilBeregnet)^(1/2)*StHfaktor/(Depl+DeplTillegg/1000+Vann/1000+Diesel/1000*0.84)^(1/3))</f>
        <v>3.0156046277663218</v>
      </c>
      <c r="CO30" s="64">
        <f t="shared" si="203"/>
        <v>1.7509395973831339</v>
      </c>
      <c r="CP30" s="64">
        <f t="shared" si="204"/>
        <v>1.8334522799337654</v>
      </c>
      <c r="CQ30" s="110">
        <f t="shared" si="205"/>
        <v>0.99664221838488598</v>
      </c>
      <c r="CR30" s="172" t="str">
        <f t="shared" si="390"/>
        <v>-</v>
      </c>
      <c r="CS30" s="162"/>
      <c r="CT30" s="172" t="str">
        <f t="shared" si="391"/>
        <v>-</v>
      </c>
      <c r="CU30" s="164"/>
      <c r="CV30" s="195" t="s">
        <v>145</v>
      </c>
      <c r="CW30" s="64">
        <v>0.84</v>
      </c>
      <c r="CX30" s="64">
        <v>0.85</v>
      </c>
      <c r="CY30" s="64">
        <v>0.86</v>
      </c>
      <c r="CZ30" s="154">
        <v>0.88</v>
      </c>
      <c r="DA30" s="64">
        <f t="shared" si="392"/>
        <v>2.0538457640993224</v>
      </c>
      <c r="DB30" s="49">
        <f t="shared" si="393"/>
        <v>13.043478260869565</v>
      </c>
      <c r="DC30" s="50">
        <f t="shared" si="394"/>
        <v>0</v>
      </c>
      <c r="DE30" s="110">
        <f>IF(SeilBeregnet=0,"-",DE$7*(DG:DG+DE$6)*DL:DL*PropF+ErfaringsF+Dyp_F)</f>
        <v>0.88222722662833886</v>
      </c>
      <c r="DF30" s="144" t="str">
        <f t="shared" si="446"/>
        <v>-</v>
      </c>
      <c r="DG30" s="110">
        <f t="shared" si="395"/>
        <v>4.8384833931905202</v>
      </c>
      <c r="DH30" s="136">
        <f t="shared" si="409"/>
        <v>3.0614367599132435</v>
      </c>
      <c r="DI30" s="136">
        <f t="shared" si="410"/>
        <v>0</v>
      </c>
      <c r="DJ30" s="136">
        <f t="shared" si="411"/>
        <v>0</v>
      </c>
      <c r="DK30" s="136">
        <f t="shared" si="412"/>
        <v>1.7770466332772772</v>
      </c>
      <c r="DL30" s="110">
        <f t="shared" si="413"/>
        <v>1.8334522799337654</v>
      </c>
      <c r="DM30" s="136">
        <f t="shared" si="414"/>
        <v>2.0916500663351889</v>
      </c>
      <c r="DO30" s="110">
        <f t="shared" si="258"/>
        <v>0.91643794455147753</v>
      </c>
      <c r="DP30" s="110">
        <f t="shared" si="396"/>
        <v>0.85628376790986305</v>
      </c>
      <c r="DR30" s="110">
        <f t="shared" si="397"/>
        <v>0.87288264541756622</v>
      </c>
      <c r="DS30" s="125" t="str">
        <f t="shared" si="447"/>
        <v>-</v>
      </c>
      <c r="DT30" s="110">
        <f t="shared" si="398"/>
        <v>0.89254704042148247</v>
      </c>
      <c r="DU30" s="125" t="str">
        <f t="shared" si="448"/>
        <v>-</v>
      </c>
      <c r="DV30" s="110">
        <f t="shared" si="415"/>
        <v>3.0611821273522284</v>
      </c>
      <c r="DW30" s="110">
        <f t="shared" si="416"/>
        <v>2.2438356573015867</v>
      </c>
      <c r="DX30" s="110">
        <f t="shared" si="417"/>
        <v>1.5735954135403782</v>
      </c>
      <c r="DZ30" s="110">
        <f t="shared" si="399"/>
        <v>0.89487566854901568</v>
      </c>
      <c r="EB30" s="110">
        <f t="shared" si="418"/>
        <v>3.0611821273522284</v>
      </c>
      <c r="EC30" s="110">
        <f t="shared" si="419"/>
        <v>2.2439988890031217</v>
      </c>
      <c r="ED30" s="110">
        <f t="shared" si="420"/>
        <v>1.830197069920783</v>
      </c>
      <c r="EE30" s="110">
        <f t="shared" si="400"/>
        <v>0.88601342555360751</v>
      </c>
      <c r="EG30" s="110">
        <f t="shared" si="421"/>
        <v>4.8170621556132449</v>
      </c>
      <c r="EH30" s="110">
        <f t="shared" si="422"/>
        <v>3.0611821273522284</v>
      </c>
      <c r="EI30" s="110">
        <f t="shared" si="423"/>
        <v>1.5735954135403782</v>
      </c>
      <c r="EJ30" s="110">
        <f t="shared" si="424"/>
        <v>1.8334522799337654</v>
      </c>
      <c r="EK30" s="110">
        <f>IF(SeilBeregnet=0,"-",EK$7*(EK$4*EM:EM+EK$6)*EP:EP*PropF+ErfaringsF+Dyp_F)</f>
        <v>0.88328841376133538</v>
      </c>
      <c r="EM30" s="110">
        <f>IF(SeilBeregnet=0,EM29,(EN:EN*EO:EO)^EM$3)</f>
        <v>1.7543741468269438</v>
      </c>
      <c r="EN30" s="110">
        <f t="shared" si="425"/>
        <v>3.0611821273522284</v>
      </c>
      <c r="EO30" s="110">
        <f t="shared" si="426"/>
        <v>1.0054379383551861</v>
      </c>
      <c r="EP30" s="110">
        <f t="shared" si="427"/>
        <v>1.8419118031918562</v>
      </c>
      <c r="EQ30" s="110">
        <f>IF(SeilBeregnet=0,"-",EQ$7*(ES:ES+EQ$6)*EV:EV*PropF+ErfaringsF+Dyp_F)</f>
        <v>0.8706974875146638</v>
      </c>
      <c r="ES30" s="110">
        <f>(ET:ET*EU:EU)^ES$3</f>
        <v>1.7544471107137862</v>
      </c>
      <c r="ET30" s="110">
        <f t="shared" si="428"/>
        <v>3.0614367599132435</v>
      </c>
      <c r="EU30" s="110">
        <f t="shared" si="429"/>
        <v>1.0054379383551861</v>
      </c>
      <c r="EV30" s="110">
        <f t="shared" si="430"/>
        <v>1.8419118031918562</v>
      </c>
      <c r="EW30" s="110">
        <f>IF(SeilBeregnet=0,"-",EW$7*(EY:EY+EW$6)*FB:FB*PropF+ErfaringsF+Dyp_F)</f>
        <v>0.88853444328370534</v>
      </c>
      <c r="EX30" s="144" t="str">
        <f t="shared" si="449"/>
        <v>-</v>
      </c>
      <c r="EY30" s="110">
        <f>(EZ:EZ*FA:FA)^EY$3</f>
        <v>3.0948230989484165</v>
      </c>
      <c r="EZ30" s="136">
        <f t="shared" si="431"/>
        <v>3.0614367599132435</v>
      </c>
      <c r="FA30" s="136">
        <f t="shared" si="432"/>
        <v>1.0109054478839272</v>
      </c>
      <c r="FB30" s="110">
        <f t="shared" si="433"/>
        <v>1.0357831242906539</v>
      </c>
      <c r="FC30" s="110">
        <f>IF(SeilBeregnet=0,"-",FC$7*(FE:FE+FC$6)*FI:FI*PropF+ErfaringsF+Dyp_F)</f>
        <v>0.87020257781843657</v>
      </c>
      <c r="FD30" s="144" t="str">
        <f t="shared" si="450"/>
        <v>-</v>
      </c>
      <c r="FE30" s="110">
        <f>(FF:FF+FG:FG+FH:FH)^FE$3+FE$7</f>
        <v>5.0211050135684641</v>
      </c>
      <c r="FF30" s="136">
        <f t="shared" si="434"/>
        <v>3.0614367599132435</v>
      </c>
      <c r="FG30" s="136">
        <f t="shared" si="435"/>
        <v>0.68262162037794294</v>
      </c>
      <c r="FH30" s="136">
        <f t="shared" si="436"/>
        <v>1.7770466332772772</v>
      </c>
      <c r="FI30" s="110">
        <f t="shared" si="437"/>
        <v>1.8334522799337654</v>
      </c>
      <c r="FJ30" s="110">
        <f>IF(SeilBeregnet=0,"-",FJ$7*(FL:FL+FJ$6)*FO:FO*PropF+ErfaringsF+Dyp_F)</f>
        <v>0.88621622778051989</v>
      </c>
      <c r="FK30" s="144" t="str">
        <f t="shared" si="451"/>
        <v>-</v>
      </c>
      <c r="FL30" s="110">
        <f>(FM:FM*FN:FN)^FL$3</f>
        <v>5.4403158871951254</v>
      </c>
      <c r="FM30" s="136">
        <f t="shared" si="438"/>
        <v>3.0614367599132435</v>
      </c>
      <c r="FN30" s="136">
        <f t="shared" si="439"/>
        <v>1.7770466332772772</v>
      </c>
      <c r="FO30" s="110">
        <f t="shared" si="440"/>
        <v>1.8334522799337654</v>
      </c>
      <c r="FQ30">
        <v>0.95</v>
      </c>
      <c r="FR30" s="64">
        <f t="shared" si="452"/>
        <v>1.1289415859778473</v>
      </c>
      <c r="FS30" s="479"/>
      <c r="FT30" s="18"/>
      <c r="FU30" s="481"/>
      <c r="FV30" s="504"/>
      <c r="FW30" s="18"/>
      <c r="FX30" s="18"/>
      <c r="FY30" s="18"/>
      <c r="FZ30" s="18"/>
      <c r="GB30" s="18"/>
      <c r="GC30" s="481"/>
      <c r="GD30" s="8"/>
      <c r="GE30" s="8"/>
      <c r="GF30" s="8"/>
      <c r="GG30" s="8"/>
      <c r="GI30" s="18"/>
      <c r="GJ30" s="18"/>
      <c r="GK30" s="18"/>
      <c r="GL30" s="18"/>
      <c r="GM30" s="18"/>
      <c r="GN30" s="18"/>
      <c r="GO30" s="18"/>
      <c r="GP30" s="18"/>
    </row>
    <row r="31" spans="1:198" ht="15.6" x14ac:dyDescent="0.3">
      <c r="A31" s="54" t="s">
        <v>65</v>
      </c>
      <c r="B31" s="223">
        <f t="shared" ref="B31" si="457">Loa/0.3048</f>
        <v>49.04855643044619</v>
      </c>
      <c r="C31" s="55" t="s">
        <v>22</v>
      </c>
      <c r="D31" s="55"/>
      <c r="E31" s="55"/>
      <c r="F31" s="55"/>
      <c r="G31" s="56"/>
      <c r="H31" s="209"/>
      <c r="I31" s="126" t="str">
        <f>A31</f>
        <v>Jomfruen</v>
      </c>
      <c r="J31" s="229"/>
      <c r="K31" s="119"/>
      <c r="L31" s="119"/>
      <c r="M31" s="95"/>
      <c r="N31" s="265"/>
      <c r="O31" s="169"/>
      <c r="P31" s="169">
        <v>59.4</v>
      </c>
      <c r="Q31" s="169">
        <v>35</v>
      </c>
      <c r="R31" s="169"/>
      <c r="S31" s="169"/>
      <c r="T31" s="169">
        <v>27</v>
      </c>
      <c r="U31" s="169">
        <v>47.5</v>
      </c>
      <c r="V31" s="169"/>
      <c r="W31" s="169"/>
      <c r="X31" s="169">
        <v>10.9</v>
      </c>
      <c r="Y31" s="169">
        <v>20.399999999999999</v>
      </c>
      <c r="Z31" s="169"/>
      <c r="AA31" s="169"/>
      <c r="AB31" s="169"/>
      <c r="AC31" s="169"/>
      <c r="AD31" s="169"/>
      <c r="AE31" s="270">
        <v>12.05</v>
      </c>
      <c r="AF31" s="296"/>
      <c r="AG31" s="377"/>
      <c r="AH31" s="296"/>
      <c r="AI31" s="377"/>
      <c r="AJ31" s="296" t="s">
        <v>237</v>
      </c>
      <c r="AK31" s="47">
        <f>VLOOKUP(AJ31,Skrogform!$1:$1048576,3,FALSE)</f>
        <v>0.98</v>
      </c>
      <c r="AL31" s="57">
        <v>14.95</v>
      </c>
      <c r="AM31" s="57">
        <v>12.65</v>
      </c>
      <c r="AN31" s="57">
        <v>4.3</v>
      </c>
      <c r="AO31" s="57">
        <v>2.5</v>
      </c>
      <c r="AP31" s="175">
        <v>28</v>
      </c>
      <c r="AQ31" s="57">
        <v>8</v>
      </c>
      <c r="AR31" s="57">
        <v>0.5</v>
      </c>
      <c r="AS31" s="281">
        <v>120</v>
      </c>
      <c r="AT31" s="281">
        <v>900</v>
      </c>
      <c r="AU31" s="281">
        <v>650</v>
      </c>
      <c r="AV31" s="281">
        <v>350</v>
      </c>
      <c r="AW31" s="270">
        <f>Depl+Diesel/1000+Vann/1000</f>
        <v>29</v>
      </c>
      <c r="AX31" s="281">
        <v>400</v>
      </c>
      <c r="AY31" s="98">
        <f>Bredde/(Loa+Lwl)*2</f>
        <v>0.31159420289855072</v>
      </c>
      <c r="AZ31" s="98">
        <f>(Kjøl+Ballast)/Depl</f>
        <v>0.30357142857142855</v>
      </c>
      <c r="BA31" s="288">
        <f>BA$7*((Depl-Kjøl-Ballast-VektMotor/1000-VektAnnet/1000)/Loa/Lwl/Bredde)</f>
        <v>0.96836108294055945</v>
      </c>
      <c r="BB31" s="98">
        <f>BB$7*(Depl/Loa/Lwl/Lwl)</f>
        <v>0.87886859735003386</v>
      </c>
      <c r="BC31" s="178">
        <f>BC$7*(Depl/Loa/Lwl/Bredde)</f>
        <v>0.95569283224798263</v>
      </c>
      <c r="BD31" s="98">
        <f>BD$7*Bredde/(Loa+Lwl)*2</f>
        <v>0.8888810970858656</v>
      </c>
      <c r="BE31" s="98">
        <f>BE$7*(Dypg/Lwl)</f>
        <v>1.0809417425674515</v>
      </c>
      <c r="BF31" s="58" t="s">
        <v>24</v>
      </c>
      <c r="BG31" s="296">
        <v>3</v>
      </c>
      <c r="BH31" s="296">
        <v>60</v>
      </c>
      <c r="BI31" s="47">
        <f t="shared" si="200"/>
        <v>1</v>
      </c>
      <c r="BJ31" s="61"/>
      <c r="BK31" s="61"/>
      <c r="BM31" s="214"/>
      <c r="BN31" s="214" t="str">
        <f>$A31</f>
        <v>Jomfruen</v>
      </c>
      <c r="BO31" s="10"/>
      <c r="BP31" s="10"/>
      <c r="BQ31" s="10"/>
      <c r="BR31" s="10"/>
      <c r="BS31" s="52"/>
      <c r="BT31" s="214" t="str">
        <f>$A31</f>
        <v>Jomfruen</v>
      </c>
      <c r="BU31" s="10"/>
      <c r="BV31" s="10"/>
      <c r="BW31" s="10"/>
      <c r="BX31" s="10"/>
      <c r="BY31" s="10"/>
      <c r="BZ31" s="10"/>
      <c r="CA31" s="10"/>
      <c r="CB31" s="10"/>
      <c r="CC31" s="10"/>
      <c r="CD31" s="214"/>
      <c r="CE31" s="10"/>
      <c r="CF31" s="214" t="str">
        <f>$A31</f>
        <v>Jomfruen</v>
      </c>
      <c r="CG31" s="212"/>
      <c r="CH31" s="212"/>
      <c r="CI31" s="119"/>
      <c r="CJ31" s="212"/>
      <c r="CK31" s="208"/>
      <c r="CL31" s="208" t="s">
        <v>26</v>
      </c>
      <c r="CM31" s="110" t="str">
        <f t="shared" si="234"/>
        <v>-</v>
      </c>
      <c r="CN31" s="64" t="str">
        <f>IF(SeilBeregnet=0,"-",(SeilBeregnet)^(1/2)*StHfaktor/(Depl+DeplTillegg/1000+Vann/1000+Diesel/1000*0.84)^(1/3))</f>
        <v>-</v>
      </c>
      <c r="CO31" s="64" t="str">
        <f t="shared" si="203"/>
        <v>-</v>
      </c>
      <c r="CP31" s="64" t="str">
        <f t="shared" si="204"/>
        <v>-</v>
      </c>
      <c r="CQ31" s="110" t="str">
        <f t="shared" si="205"/>
        <v>-</v>
      </c>
      <c r="CR31" s="172">
        <f t="shared" si="390"/>
        <v>1.0249411764705882</v>
      </c>
      <c r="CS31" s="162">
        <v>0.99</v>
      </c>
      <c r="CT31" s="172" t="str">
        <f t="shared" si="391"/>
        <v>-</v>
      </c>
      <c r="CU31" s="164">
        <v>1.27</v>
      </c>
      <c r="CV31" s="195" t="s">
        <v>145</v>
      </c>
      <c r="CW31" s="30" t="s">
        <v>26</v>
      </c>
      <c r="CX31" s="30" t="s">
        <v>26</v>
      </c>
      <c r="CY31" s="30" t="s">
        <v>26</v>
      </c>
      <c r="CZ31" s="153">
        <v>2022</v>
      </c>
      <c r="DA31" s="64" t="str">
        <f t="shared" si="392"/>
        <v>-</v>
      </c>
      <c r="DB31" s="49">
        <f t="shared" si="393"/>
        <v>13.92757660167131</v>
      </c>
      <c r="DC31" s="50">
        <f t="shared" si="394"/>
        <v>0</v>
      </c>
      <c r="DE31" s="110" t="str">
        <f>IF(SeilBeregnet=0,"-",DE$7*(DG:DG+DE$6)*DL:DL*PropF+ErfaringsF+Dyp_F)</f>
        <v>-</v>
      </c>
      <c r="DF31" s="144" t="str">
        <f t="shared" si="446"/>
        <v>-</v>
      </c>
      <c r="DG31" s="110">
        <f t="shared" si="395"/>
        <v>4.8384833931905202</v>
      </c>
      <c r="DH31" s="136">
        <f>IF(SeilBeregnet=0,DH30,(SeilBeregnet^0.5/(Depl^0.3333))^DH$3*DH$7)</f>
        <v>3.0614367599132435</v>
      </c>
      <c r="DI31" s="136">
        <f>IF(SeilBeregnet=0,DI30,(SeilBeregnet^0.5/Lwl)^DI$3*DI$7)</f>
        <v>0</v>
      </c>
      <c r="DJ31" s="136">
        <f>IF(SeilBeregnet=0,DJ30,(0.1*Loa/Depl^0.3333)^DJ$3*DJ$7)</f>
        <v>0</v>
      </c>
      <c r="DK31" s="136">
        <f>IF(SeilBeregnet=0,DK30,((Loa)/Bredde)^DK$3*DK$7)</f>
        <v>1.7770466332772772</v>
      </c>
      <c r="DL31" s="110">
        <f>IF(SeilBeregnet=0,DL30,(Lwl)^DL$3)</f>
        <v>1.8334522799337654</v>
      </c>
      <c r="DM31" s="136">
        <f>IF(SeilBeregnet=0,DM30,(Dypg/Loa)^DM$3*5*DM$7)</f>
        <v>2.0916500663351889</v>
      </c>
      <c r="DO31" s="110" t="str">
        <f t="shared" si="258"/>
        <v>-</v>
      </c>
      <c r="DP31" s="110" t="str">
        <f t="shared" si="396"/>
        <v>-</v>
      </c>
      <c r="DR31" s="110" t="str">
        <f t="shared" si="397"/>
        <v>-</v>
      </c>
      <c r="DS31" s="125" t="str">
        <f t="shared" si="447"/>
        <v>-</v>
      </c>
      <c r="DT31" s="110" t="str">
        <f t="shared" si="398"/>
        <v>-</v>
      </c>
      <c r="DU31" s="125" t="str">
        <f t="shared" si="448"/>
        <v>-</v>
      </c>
      <c r="DV31" s="110">
        <f>IF(SeilBeregnet=0,DV30,SeilBeregnet^0.5/Depl^0.33333)</f>
        <v>3.0611821273522284</v>
      </c>
      <c r="DW31" s="110">
        <f>IF(SeilBeregnet=0,DW30,Lwl^0.3333)</f>
        <v>2.2438356573015867</v>
      </c>
      <c r="DX31" s="110">
        <f>IF(SeilBeregnet=0,DX30,((Loa+Lwl)/Bredde)^DX$3)</f>
        <v>1.5735954135403782</v>
      </c>
      <c r="DZ31" s="110" t="str">
        <f t="shared" si="399"/>
        <v>-</v>
      </c>
      <c r="EB31" s="110">
        <f>IF(SeilBeregnet=0,EB30,SeilBeregnet^0.5/Depl^0.33333)</f>
        <v>3.0611821273522284</v>
      </c>
      <c r="EC31" s="110">
        <f>IF(SeilBeregnet=0,EC30,Lwl^EC$3)</f>
        <v>2.2439988890031217</v>
      </c>
      <c r="ED31" s="110">
        <f>IF(SeilBeregnet=0,ED30,((Loa+Lwl)/Bredde)^ED$3)</f>
        <v>1.830197069920783</v>
      </c>
      <c r="EE31" s="110" t="str">
        <f t="shared" si="400"/>
        <v>-</v>
      </c>
      <c r="EG31" s="110">
        <f>IF(SeilBeregnet=0,EG30,(EH31*EI31)^EG$3)</f>
        <v>4.8170621556132449</v>
      </c>
      <c r="EH31" s="110">
        <f>IF(SeilBeregnet=0,EH30,SeilBeregnet^0.5/Depl^0.33333)</f>
        <v>3.0611821273522284</v>
      </c>
      <c r="EI31" s="110">
        <f>IF(SeilBeregnet=0,EI30,((Loa+Lwl)/Bredde)^EI$3)</f>
        <v>1.5735954135403782</v>
      </c>
      <c r="EJ31" s="110">
        <f>IF(SeilBeregnet=0,EJ30,Lwl^EJ$3)</f>
        <v>1.8334522799337654</v>
      </c>
      <c r="EK31" s="110" t="str">
        <f>IF(SeilBeregnet=0,"-",EK$7*(EK$4*EM:EM+EK$6)*EP:EP*PropF+ErfaringsF+Dyp_F)</f>
        <v>-</v>
      </c>
      <c r="EM31" s="110">
        <f>IF(SeilBeregnet=0,EM30,(EN:EN*EO:EO)^EM$3)</f>
        <v>1.7543741468269438</v>
      </c>
      <c r="EN31" s="110">
        <f>IF(SeilBeregnet=0,EN30,SeilBeregnet^0.5/Depl^0.33333)</f>
        <v>3.0611821273522284</v>
      </c>
      <c r="EO31" s="110">
        <f>IF(SeilBeregnet=0,EO30,((Loa+Lwl)/Bredde/6)^EO$3)</f>
        <v>1.0054379383551861</v>
      </c>
      <c r="EP31" s="110">
        <f>IF(SeilBeregnet=0,EP30,(Lwl*0.7+Loa*0.3)^EP$3)</f>
        <v>1.8419118031918562</v>
      </c>
      <c r="EQ31" s="110" t="str">
        <f>IF(SeilBeregnet=0,"-",EQ$7*(ES:ES+EQ$6)*EV:EV*PropF+ErfaringsF+Dyp_F)</f>
        <v>-</v>
      </c>
      <c r="ES31" s="110">
        <f>(ET:ET*EU:EU)^ES$3</f>
        <v>1.7544471107137862</v>
      </c>
      <c r="ET31" s="110">
        <f>IF(SeilBeregnet=0,ET30,SeilBeregnet^0.5/Depl^0.3333)</f>
        <v>3.0614367599132435</v>
      </c>
      <c r="EU31" s="110">
        <f>IF(SeilBeregnet=0,EU30,((Loa+Lwl)/Bredde/6)^EU$3)</f>
        <v>1.0054379383551861</v>
      </c>
      <c r="EV31" s="110">
        <f>IF(SeilBeregnet=0,EV30,(Lwl*0.7+Loa*0.3)^EV$3)</f>
        <v>1.8419118031918562</v>
      </c>
      <c r="EW31" s="110" t="str">
        <f>IF(SeilBeregnet=0,"-",EW$7*(EY:EY+EW$6)*FB:FB*PropF+ErfaringsF+Dyp_F)</f>
        <v>-</v>
      </c>
      <c r="EX31" s="144" t="str">
        <f t="shared" si="449"/>
        <v>-</v>
      </c>
      <c r="EY31" s="110">
        <f>(EZ:EZ*FA:FA)^EY$3</f>
        <v>3.0948230989484165</v>
      </c>
      <c r="EZ31" s="136">
        <f>IF(SeilBeregnet=0,EZ30,(SeilBeregnet^0.5/(Depl^0.3333))^EZ$3)</f>
        <v>3.0614367599132435</v>
      </c>
      <c r="FA31" s="136">
        <f>IF(SeilBeregnet=0,FA30,((Loa+Lwl)/Bredde/6)^FA$3)</f>
        <v>1.0109054478839272</v>
      </c>
      <c r="FB31" s="110">
        <f>IF(SeilBeregnet=0,FB30,(Lwl*0.07+Loa*0.03)^FB$3)</f>
        <v>1.0357831242906539</v>
      </c>
      <c r="FC31" s="110" t="str">
        <f>IF(SeilBeregnet=0,"-",FC$7*(FE:FE+FC$6)*FI:FI*PropF+ErfaringsF+Dyp_F)</f>
        <v>-</v>
      </c>
      <c r="FD31" s="144" t="str">
        <f t="shared" si="450"/>
        <v>-</v>
      </c>
      <c r="FE31" s="110">
        <f>(FF:FF+FG:FG+FH:FH)^FE$3+FE$7</f>
        <v>5.0211050135684641</v>
      </c>
      <c r="FF31" s="136">
        <f>IF(SeilBeregnet=0,FF30,(SeilBeregnet^0.5/(Depl^0.3333))^FF$3)</f>
        <v>3.0614367599132435</v>
      </c>
      <c r="FG31" s="136">
        <f>IF(SeilBeregnet=0,FG30,(SeilBeregnet^0.5/Lwl*FG$7)^FG$3)</f>
        <v>0.68262162037794294</v>
      </c>
      <c r="FH31" s="136">
        <f>IF(SeilBeregnet=0,FH30,((Loa)/Bredde)^FH$3*FH$7)</f>
        <v>1.7770466332772772</v>
      </c>
      <c r="FI31" s="110">
        <f>IF(SeilBeregnet=0,FI30,(Lwl)^FI$3)</f>
        <v>1.8334522799337654</v>
      </c>
      <c r="FJ31" s="110" t="str">
        <f>IF(SeilBeregnet=0,"-",FJ$7*(FL:FL+FJ$6)*FO:FO*PropF+ErfaringsF+Dyp_F)</f>
        <v>-</v>
      </c>
      <c r="FK31" s="144" t="str">
        <f t="shared" si="451"/>
        <v>-</v>
      </c>
      <c r="FL31" s="110">
        <f>(FM:FM*FN:FN)^FL$3</f>
        <v>5.4403158871951254</v>
      </c>
      <c r="FM31" s="136">
        <f>IF(SeilBeregnet=0,FM30,(SeilBeregnet^0.5/(Depl^0.3333))^FM$3)</f>
        <v>3.0614367599132435</v>
      </c>
      <c r="FN31" s="136">
        <f>IF(SeilBeregnet=0,FN30,(Loa/Bredde)^FN$3)</f>
        <v>1.7770466332772772</v>
      </c>
      <c r="FO31" s="110">
        <f>IF(SeilBeregnet=0,FO30,Lwl^FO$3)</f>
        <v>1.8334522799337654</v>
      </c>
      <c r="FQ31">
        <v>0.95</v>
      </c>
      <c r="FR31" s="64" t="str">
        <f t="shared" si="452"/>
        <v>-</v>
      </c>
      <c r="FS31" s="480" t="s">
        <v>491</v>
      </c>
      <c r="FT31" s="59" t="s">
        <v>66</v>
      </c>
      <c r="FU31" s="475" t="s">
        <v>564</v>
      </c>
      <c r="FV31" s="506" t="s">
        <v>565</v>
      </c>
      <c r="FW31" s="59" t="s">
        <v>566</v>
      </c>
      <c r="FX31" s="59" t="s">
        <v>567</v>
      </c>
      <c r="FY31" s="59" t="s">
        <v>455</v>
      </c>
      <c r="FZ31" s="59" t="s">
        <v>518</v>
      </c>
      <c r="GB31" s="59" t="s">
        <v>522</v>
      </c>
      <c r="GC31" s="475" t="s">
        <v>522</v>
      </c>
      <c r="GD31" s="60" t="s">
        <v>522</v>
      </c>
      <c r="GE31" s="60" t="s">
        <v>522</v>
      </c>
      <c r="GF31" s="60" t="s">
        <v>522</v>
      </c>
      <c r="GG31" s="60" t="s">
        <v>522</v>
      </c>
      <c r="GI31" s="59" t="s">
        <v>514</v>
      </c>
      <c r="GJ31" s="59" t="s">
        <v>549</v>
      </c>
      <c r="GK31" s="59" t="s">
        <v>646</v>
      </c>
      <c r="GL31" s="59" t="s">
        <v>569</v>
      </c>
      <c r="GM31" s="59">
        <v>1978</v>
      </c>
      <c r="GN31" s="59" t="s">
        <v>570</v>
      </c>
      <c r="GO31" s="59" t="s">
        <v>571</v>
      </c>
      <c r="GP31" s="59" t="s">
        <v>522</v>
      </c>
    </row>
    <row r="32" spans="1:198" ht="15.6" x14ac:dyDescent="0.3">
      <c r="A32" s="62" t="s">
        <v>68</v>
      </c>
      <c r="B32" s="223"/>
      <c r="C32" s="63" t="str">
        <f>C36</f>
        <v>Gaffel</v>
      </c>
      <c r="D32" s="63"/>
      <c r="E32" s="63"/>
      <c r="F32" s="63"/>
      <c r="G32" s="56"/>
      <c r="H32" s="209">
        <f>TBFavrundet</f>
        <v>101.50000000000001</v>
      </c>
      <c r="I32" s="65">
        <f>COUNTA(O32:AD32)</f>
        <v>5</v>
      </c>
      <c r="J32" s="228">
        <f>SUM(O32:AD32)</f>
        <v>140.80000000000001</v>
      </c>
      <c r="K32" s="119">
        <f>Seilareal/Depl^0.667/K$7</f>
        <v>1.3946062553716312</v>
      </c>
      <c r="L32" s="119">
        <f>Seilareal/Lwl/Lwl/L$7</f>
        <v>1.3350532169141422</v>
      </c>
      <c r="M32" s="95">
        <f>RiggF</f>
        <v>0.77159090909090911</v>
      </c>
      <c r="N32" s="265">
        <f>StHfaktor</f>
        <v>0.99394434046182945</v>
      </c>
      <c r="O32" s="147"/>
      <c r="P32" s="147"/>
      <c r="Q32" s="169">
        <v>35</v>
      </c>
      <c r="R32" s="147"/>
      <c r="S32" s="147"/>
      <c r="T32" s="169">
        <v>27</v>
      </c>
      <c r="U32" s="169">
        <v>47.5</v>
      </c>
      <c r="V32" s="148"/>
      <c r="W32" s="148"/>
      <c r="X32" s="169">
        <v>10.9</v>
      </c>
      <c r="Y32" s="169">
        <v>20.399999999999999</v>
      </c>
      <c r="Z32" s="147"/>
      <c r="AA32" s="147"/>
      <c r="AB32" s="147"/>
      <c r="AC32" s="147"/>
      <c r="AD32" s="147"/>
      <c r="AE32" s="260">
        <f t="shared" ref="AE32" si="458">AE31</f>
        <v>12.05</v>
      </c>
      <c r="AF32" s="375">
        <f t="shared" ref="AF32:AH36" si="459" xml:space="preserve"> AF31</f>
        <v>0</v>
      </c>
      <c r="AG32" s="377"/>
      <c r="AH32" s="375">
        <f t="shared" si="459"/>
        <v>0</v>
      </c>
      <c r="AI32" s="377"/>
      <c r="AJ32" s="295" t="str">
        <f t="shared" ref="AJ32" si="460" xml:space="preserve"> AJ31</f>
        <v>Lystb</v>
      </c>
      <c r="AK32" s="47">
        <f>VLOOKUP(AJ32,Skrogform!$1:$1048576,3,FALSE)</f>
        <v>0.98</v>
      </c>
      <c r="AL32" s="66">
        <f t="shared" ref="AL32:AT32" si="461">AL31</f>
        <v>14.95</v>
      </c>
      <c r="AM32" s="66">
        <f t="shared" si="461"/>
        <v>12.65</v>
      </c>
      <c r="AN32" s="66">
        <f t="shared" si="461"/>
        <v>4.3</v>
      </c>
      <c r="AO32" s="66">
        <f t="shared" si="461"/>
        <v>2.5</v>
      </c>
      <c r="AP32" s="66">
        <f t="shared" si="461"/>
        <v>28</v>
      </c>
      <c r="AQ32" s="66">
        <f t="shared" si="461"/>
        <v>8</v>
      </c>
      <c r="AR32" s="66">
        <f t="shared" si="461"/>
        <v>0.5</v>
      </c>
      <c r="AS32" s="284">
        <f t="shared" si="461"/>
        <v>120</v>
      </c>
      <c r="AT32" s="284">
        <f t="shared" si="461"/>
        <v>900</v>
      </c>
      <c r="AU32" s="284">
        <f t="shared" ref="AU32:AV32" si="462">AU31</f>
        <v>650</v>
      </c>
      <c r="AV32" s="284">
        <f t="shared" si="462"/>
        <v>350</v>
      </c>
      <c r="AW32" s="284"/>
      <c r="AX32" s="284">
        <f>AX31</f>
        <v>400</v>
      </c>
      <c r="AY32" s="68"/>
      <c r="AZ32" s="68"/>
      <c r="BA32" s="289"/>
      <c r="BB32" s="68"/>
      <c r="BC32" s="179"/>
      <c r="BD32" s="68"/>
      <c r="BE32" s="68"/>
      <c r="BF32" s="67" t="str">
        <f t="shared" ref="BF32:BH32" si="463" xml:space="preserve"> BF31</f>
        <v>Seilrett</v>
      </c>
      <c r="BG32" s="295">
        <f t="shared" si="463"/>
        <v>3</v>
      </c>
      <c r="BH32" s="295">
        <f t="shared" si="463"/>
        <v>60</v>
      </c>
      <c r="BI32" s="47">
        <f t="shared" ref="BI32:BI63" si="464">IF((BF32="Fast"),(1.006248-(0.06415*((BH32/100*SQRT(BG32))/POWER(AP32,(1/3))))),1)</f>
        <v>1</v>
      </c>
      <c r="BJ32" s="61"/>
      <c r="BK32" s="61"/>
      <c r="BM32" s="51">
        <f t="shared" ref="BM32:BR36" si="465">IF(O32=0,0,O32*BM$9)</f>
        <v>0</v>
      </c>
      <c r="BN32" s="51">
        <f t="shared" si="465"/>
        <v>0</v>
      </c>
      <c r="BO32" s="51">
        <f t="shared" si="465"/>
        <v>35</v>
      </c>
      <c r="BP32" s="51">
        <f t="shared" si="465"/>
        <v>0</v>
      </c>
      <c r="BQ32" s="51">
        <f t="shared" si="465"/>
        <v>0</v>
      </c>
      <c r="BR32" s="51">
        <f t="shared" si="465"/>
        <v>27</v>
      </c>
      <c r="BS32" s="52">
        <f>IF(COUNT(P32:T32)&gt;1,MINA(P32:T32)*BS$9,0)</f>
        <v>-8.1</v>
      </c>
      <c r="BT32" s="88">
        <f t="shared" ref="BT32:CC36" si="466">IF(U32=0,0,U32*BT$9)</f>
        <v>38</v>
      </c>
      <c r="BU32" s="88">
        <f t="shared" si="466"/>
        <v>0</v>
      </c>
      <c r="BV32" s="88">
        <f t="shared" si="466"/>
        <v>0</v>
      </c>
      <c r="BW32" s="88">
        <f t="shared" si="466"/>
        <v>6.54</v>
      </c>
      <c r="BX32" s="88">
        <f t="shared" si="466"/>
        <v>10.199999999999999</v>
      </c>
      <c r="BY32" s="88">
        <f t="shared" si="466"/>
        <v>0</v>
      </c>
      <c r="BZ32" s="88">
        <f t="shared" si="466"/>
        <v>0</v>
      </c>
      <c r="CA32" s="88">
        <f t="shared" si="466"/>
        <v>0</v>
      </c>
      <c r="CB32" s="88">
        <f t="shared" si="466"/>
        <v>0</v>
      </c>
      <c r="CC32" s="88">
        <f t="shared" si="466"/>
        <v>0</v>
      </c>
      <c r="CD32" s="103">
        <f>SUM(BM32:CC32)</f>
        <v>108.64000000000001</v>
      </c>
      <c r="CE32" s="52"/>
      <c r="CF32" s="107">
        <f>J32</f>
        <v>140.80000000000001</v>
      </c>
      <c r="CG32" s="104">
        <f>CD32/CF32</f>
        <v>0.77159090909090911</v>
      </c>
      <c r="CH32" s="53">
        <f>Seilareal/Lwl/Lwl</f>
        <v>0.87987626739989699</v>
      </c>
      <c r="CI32" s="119">
        <f>Seilareal/Depl^0.667/K$7</f>
        <v>1.3946062553716312</v>
      </c>
      <c r="CJ32" s="53">
        <f>Seilareal/Lwl/Lwl/SApRS1</f>
        <v>1.3350532169141422</v>
      </c>
      <c r="CK32" s="209"/>
      <c r="CL32" s="209">
        <f>(ROUND(TBF/CL$6,3)*CL$6)*CL$4</f>
        <v>101.50000000000001</v>
      </c>
      <c r="CM32" s="110">
        <f t="shared" si="234"/>
        <v>1.0152490076169898</v>
      </c>
      <c r="CN32" s="64">
        <f>IF(SeilBeregnet=0,"-",(SeilBeregnet)^(1/2)*StHfaktor/(Depl+DeplTillegg/1000+Vann/1000+Diesel/1000*0.84)^(1/3))</f>
        <v>3.3664633511180617</v>
      </c>
      <c r="CO32" s="64">
        <f t="shared" si="203"/>
        <v>1.7914525741926286</v>
      </c>
      <c r="CP32" s="64">
        <f t="shared" si="204"/>
        <v>1.8859172433475835</v>
      </c>
      <c r="CQ32" s="110">
        <f t="shared" si="205"/>
        <v>0.99394434046182945</v>
      </c>
      <c r="CR32" s="172">
        <f t="shared" si="390"/>
        <v>1.0249411764705882</v>
      </c>
      <c r="CS32" s="163">
        <v>0.99</v>
      </c>
      <c r="CT32" s="172">
        <f t="shared" si="391"/>
        <v>0.98035087719298253</v>
      </c>
      <c r="CU32" s="163">
        <v>1.27</v>
      </c>
      <c r="CV32" s="195" t="s">
        <v>145</v>
      </c>
      <c r="CW32" s="64">
        <v>0.98</v>
      </c>
      <c r="CX32" s="64">
        <v>0.93</v>
      </c>
      <c r="CY32" s="64">
        <v>0.98</v>
      </c>
      <c r="CZ32" s="154">
        <v>1.02</v>
      </c>
      <c r="DA32" s="64">
        <f t="shared" si="392"/>
        <v>2.1194274884384119</v>
      </c>
      <c r="DB32" s="49">
        <f t="shared" si="393"/>
        <v>13.92757660167131</v>
      </c>
      <c r="DC32" s="50">
        <f t="shared" si="394"/>
        <v>0</v>
      </c>
      <c r="DE32" s="110">
        <f>IF(SeilBeregnet=0,"-",DE$7*(DG:DG+DE$6)*DL:DL*PropF+ErfaringsF+Dyp_F)</f>
        <v>1.0090497775972818</v>
      </c>
      <c r="DF32" s="144">
        <f t="shared" si="446"/>
        <v>-2.6918597522095578</v>
      </c>
      <c r="DG32" s="110">
        <f t="shared" si="395"/>
        <v>5.297470974741767</v>
      </c>
      <c r="DH32" s="136">
        <f t="shared" si="409"/>
        <v>3.4328680180653302</v>
      </c>
      <c r="DI32" s="136">
        <f t="shared" si="410"/>
        <v>0</v>
      </c>
      <c r="DJ32" s="136">
        <f t="shared" si="411"/>
        <v>0</v>
      </c>
      <c r="DK32" s="136">
        <f t="shared" si="412"/>
        <v>1.8646029566764373</v>
      </c>
      <c r="DL32" s="110">
        <f t="shared" si="413"/>
        <v>1.8859172433475835</v>
      </c>
      <c r="DM32" s="136">
        <f t="shared" si="414"/>
        <v>2.0446520502738266</v>
      </c>
      <c r="DO32" s="74">
        <f t="shared" ref="DO32:DO162" si="467">IF(SeilBeregnet=0,"-",Skaleringsfaktor*(1*(LBf+SaDeplf)*Lf*PropF+Strikkf2)+ErfaringsF+Dyp_F)</f>
        <v>1.0359683751193773</v>
      </c>
      <c r="DP32" s="110">
        <f t="shared" si="396"/>
        <v>1.0219046315408948</v>
      </c>
      <c r="DQ32" s="125">
        <f>DP32-DO32</f>
        <v>-1.4063743578482502E-2</v>
      </c>
      <c r="DR32" s="110">
        <f t="shared" si="397"/>
        <v>1.0080785766766271</v>
      </c>
      <c r="DS32" s="125">
        <f t="shared" si="447"/>
        <v>-2.7889798442750191E-2</v>
      </c>
      <c r="DT32" s="110">
        <f t="shared" si="398"/>
        <v>1.02329782231132</v>
      </c>
      <c r="DU32" s="125">
        <f t="shared" si="448"/>
        <v>-1.2670552808057289E-2</v>
      </c>
      <c r="DV32" s="110">
        <f t="shared" si="415"/>
        <v>3.4325248646686957</v>
      </c>
      <c r="DW32" s="110">
        <f t="shared" si="416"/>
        <v>2.3298436208665341</v>
      </c>
      <c r="DX32" s="110">
        <f t="shared" si="417"/>
        <v>1.5916961163398649</v>
      </c>
      <c r="DZ32" s="110">
        <f t="shared" si="399"/>
        <v>1.0157934743794064</v>
      </c>
      <c r="EB32" s="110">
        <f t="shared" si="418"/>
        <v>3.4325248646686957</v>
      </c>
      <c r="EC32" s="110">
        <f t="shared" si="419"/>
        <v>2.3300209979525235</v>
      </c>
      <c r="ED32" s="110">
        <f t="shared" si="420"/>
        <v>1.8583176886572534</v>
      </c>
      <c r="EE32" s="110">
        <f t="shared" si="400"/>
        <v>1.0133524298684171</v>
      </c>
      <c r="EG32" s="110">
        <f t="shared" si="421"/>
        <v>5.4635364963331829</v>
      </c>
      <c r="EH32" s="110">
        <f t="shared" si="422"/>
        <v>3.4325248646686957</v>
      </c>
      <c r="EI32" s="110">
        <f t="shared" si="423"/>
        <v>1.5916961163398649</v>
      </c>
      <c r="EJ32" s="110">
        <f t="shared" si="424"/>
        <v>1.8859172433475835</v>
      </c>
      <c r="EK32" s="110">
        <f>IF(SeilBeregnet=0,"-",EK$7*(EK$4*EM:EM+EK$6)*EP:EP*PropF+ErfaringsF+Dyp_F)</f>
        <v>1.015373678520592</v>
      </c>
      <c r="EM32" s="110">
        <f>IF(SeilBeregnet=0,EM31,(EN:EN*EO:EO)^EM$3)</f>
        <v>1.8683920812104529</v>
      </c>
      <c r="EN32" s="110">
        <f t="shared" si="425"/>
        <v>3.4325248646686957</v>
      </c>
      <c r="EO32" s="110">
        <f t="shared" si="426"/>
        <v>1.0170032575909294</v>
      </c>
      <c r="EP32" s="110">
        <f t="shared" si="427"/>
        <v>1.9111244003334622</v>
      </c>
      <c r="EQ32" s="110">
        <f>IF(SeilBeregnet=0,"-",EQ$7*(ES:ES+EQ$6)*EV:EV*PropF+ErfaringsF+Dyp_F)</f>
        <v>0.97713967057283291</v>
      </c>
      <c r="ES32" s="110">
        <f>(ET:ET*EU:EU)^ES$3</f>
        <v>1.8684854715121972</v>
      </c>
      <c r="ET32" s="110">
        <f t="shared" si="428"/>
        <v>3.4328680180653302</v>
      </c>
      <c r="EU32" s="110">
        <f t="shared" si="429"/>
        <v>1.0170032575909294</v>
      </c>
      <c r="EV32" s="110">
        <f t="shared" si="430"/>
        <v>1.9111244003334622</v>
      </c>
      <c r="EW32" s="110">
        <f>IF(SeilBeregnet=0,"-",EW$7*(EY:EY+EW$6)*FB:FB*PropF+ErfaringsF+Dyp_F)</f>
        <v>1.020058381146647</v>
      </c>
      <c r="EX32" s="144">
        <f t="shared" si="449"/>
        <v>-1.5909993972730296</v>
      </c>
      <c r="EY32" s="110">
        <f>(EZ:EZ*FA:FA)^EY$3</f>
        <v>3.5506003755505469</v>
      </c>
      <c r="EZ32" s="136">
        <f t="shared" si="431"/>
        <v>3.4328680180653302</v>
      </c>
      <c r="FA32" s="136">
        <f t="shared" si="432"/>
        <v>1.0342956259505622</v>
      </c>
      <c r="FB32" s="110">
        <f t="shared" si="433"/>
        <v>1.0747042278871302</v>
      </c>
      <c r="FC32" s="110">
        <f>IF(SeilBeregnet=0,"-",FC$7*(FE:FE+FC$6)*FI:FI*PropF+ErfaringsF+Dyp_F)</f>
        <v>1.0177485362953453</v>
      </c>
      <c r="FD32" s="144">
        <f t="shared" si="450"/>
        <v>-1.8219838824031998</v>
      </c>
      <c r="FE32" s="110">
        <f>(FF:FF+FG:FG+FH:FH)^FE$3+FE$7</f>
        <v>5.621427605305902</v>
      </c>
      <c r="FF32" s="136">
        <f t="shared" si="434"/>
        <v>3.4328680180653302</v>
      </c>
      <c r="FG32" s="136">
        <f t="shared" si="435"/>
        <v>0.82395663056413493</v>
      </c>
      <c r="FH32" s="136">
        <f t="shared" si="436"/>
        <v>1.8646029566764373</v>
      </c>
      <c r="FI32" s="110">
        <f t="shared" si="437"/>
        <v>1.8859172433475835</v>
      </c>
      <c r="FJ32" s="110">
        <f>IF(SeilBeregnet=0,"-",FJ$7*(FL:FL+FJ$6)*FO:FO*PropF+ErfaringsF+Dyp_F)</f>
        <v>1.019995822480448</v>
      </c>
      <c r="FK32" s="144">
        <f t="shared" si="451"/>
        <v>-1.5972552638929383</v>
      </c>
      <c r="FL32" s="110">
        <f>(FM:FM*FN:FN)^FL$3</f>
        <v>6.4009358563645957</v>
      </c>
      <c r="FM32" s="136">
        <f t="shared" si="438"/>
        <v>3.4328680180653302</v>
      </c>
      <c r="FN32" s="136">
        <f t="shared" si="439"/>
        <v>1.8646029566764373</v>
      </c>
      <c r="FO32" s="110">
        <f t="shared" si="440"/>
        <v>1.8859172433475835</v>
      </c>
      <c r="FQ32">
        <v>0.95</v>
      </c>
      <c r="FR32" s="64">
        <f t="shared" si="452"/>
        <v>1.2302679987787239</v>
      </c>
      <c r="FS32" s="479"/>
      <c r="FT32" s="18"/>
      <c r="FU32" s="481"/>
      <c r="FV32" s="504"/>
      <c r="FW32" s="18"/>
      <c r="FX32" s="18"/>
      <c r="FY32" s="18"/>
      <c r="FZ32" s="18"/>
      <c r="GB32" s="18"/>
      <c r="GC32" s="481"/>
      <c r="GD32" s="8"/>
      <c r="GE32" s="8"/>
      <c r="GF32" s="8"/>
      <c r="GG32" s="8"/>
      <c r="GI32" s="18"/>
      <c r="GJ32" s="18"/>
      <c r="GK32" s="18"/>
      <c r="GL32" s="18"/>
      <c r="GM32" s="18"/>
      <c r="GN32" s="18"/>
      <c r="GO32" s="18"/>
      <c r="GP32" s="18"/>
    </row>
    <row r="33" spans="1:198" ht="15.6" x14ac:dyDescent="0.3">
      <c r="A33" s="62" t="s">
        <v>67</v>
      </c>
      <c r="B33" s="223"/>
      <c r="C33" s="14" t="str">
        <f>C31</f>
        <v>Gaffel</v>
      </c>
      <c r="G33" s="56"/>
      <c r="H33" s="209">
        <f>TBFavrundet</f>
        <v>98.500000000000014</v>
      </c>
      <c r="I33" s="65">
        <f>COUNTA(O33:AD33)</f>
        <v>4</v>
      </c>
      <c r="J33" s="228">
        <f>SUM(O33:AD33)</f>
        <v>120.4</v>
      </c>
      <c r="K33" s="119">
        <f>Seilareal/Depl^0.667/K$7</f>
        <v>1.1925468263263095</v>
      </c>
      <c r="L33" s="119">
        <f>Seilareal/Lwl/Lwl/L$7</f>
        <v>1.1416222110544227</v>
      </c>
      <c r="M33" s="95">
        <f>RiggF</f>
        <v>0.81760797342192693</v>
      </c>
      <c r="N33" s="265">
        <f>StHfaktor</f>
        <v>0.99394434046182945</v>
      </c>
      <c r="O33" s="147"/>
      <c r="P33" s="147"/>
      <c r="Q33" s="169">
        <v>35</v>
      </c>
      <c r="R33" s="147"/>
      <c r="S33" s="147"/>
      <c r="T33" s="169">
        <v>27</v>
      </c>
      <c r="U33" s="169">
        <v>47.5</v>
      </c>
      <c r="V33" s="148"/>
      <c r="W33" s="148"/>
      <c r="X33" s="169">
        <v>10.9</v>
      </c>
      <c r="Y33" s="147"/>
      <c r="Z33" s="147"/>
      <c r="AA33" s="147"/>
      <c r="AB33" s="147"/>
      <c r="AC33" s="147"/>
      <c r="AD33" s="147"/>
      <c r="AE33" s="260">
        <f t="shared" ref="AE33" si="468">AE32</f>
        <v>12.05</v>
      </c>
      <c r="AF33" s="375">
        <f t="shared" si="459"/>
        <v>0</v>
      </c>
      <c r="AG33" s="377"/>
      <c r="AH33" s="375">
        <f t="shared" si="459"/>
        <v>0</v>
      </c>
      <c r="AI33" s="377"/>
      <c r="AJ33" s="295" t="str">
        <f t="shared" ref="AJ33" si="469" xml:space="preserve"> AJ32</f>
        <v>Lystb</v>
      </c>
      <c r="AK33" s="47">
        <f>VLOOKUP(AJ33,Skrogform!$1:$1048576,3,FALSE)</f>
        <v>0.98</v>
      </c>
      <c r="AL33" s="66">
        <f t="shared" ref="AL33:AT33" si="470">AL32</f>
        <v>14.95</v>
      </c>
      <c r="AM33" s="66">
        <f t="shared" si="470"/>
        <v>12.65</v>
      </c>
      <c r="AN33" s="66">
        <f t="shared" si="470"/>
        <v>4.3</v>
      </c>
      <c r="AO33" s="66">
        <f t="shared" si="470"/>
        <v>2.5</v>
      </c>
      <c r="AP33" s="66">
        <f t="shared" si="470"/>
        <v>28</v>
      </c>
      <c r="AQ33" s="66">
        <f t="shared" si="470"/>
        <v>8</v>
      </c>
      <c r="AR33" s="66">
        <f t="shared" si="470"/>
        <v>0.5</v>
      </c>
      <c r="AS33" s="284">
        <f t="shared" si="470"/>
        <v>120</v>
      </c>
      <c r="AT33" s="284">
        <f t="shared" si="470"/>
        <v>900</v>
      </c>
      <c r="AU33" s="284">
        <f t="shared" ref="AU33:AV33" si="471">AU32</f>
        <v>650</v>
      </c>
      <c r="AV33" s="284">
        <f t="shared" si="471"/>
        <v>350</v>
      </c>
      <c r="AW33" s="284"/>
      <c r="AX33" s="284">
        <f>AX32</f>
        <v>400</v>
      </c>
      <c r="AY33" s="68"/>
      <c r="AZ33" s="68"/>
      <c r="BA33" s="289"/>
      <c r="BB33" s="68"/>
      <c r="BC33" s="179"/>
      <c r="BD33" s="68"/>
      <c r="BE33" s="68"/>
      <c r="BF33" s="67" t="str">
        <f t="shared" ref="BF33:BH33" si="472" xml:space="preserve"> BF32</f>
        <v>Seilrett</v>
      </c>
      <c r="BG33" s="295">
        <f t="shared" si="472"/>
        <v>3</v>
      </c>
      <c r="BH33" s="295">
        <f t="shared" si="472"/>
        <v>60</v>
      </c>
      <c r="BI33" s="47">
        <f t="shared" si="464"/>
        <v>1</v>
      </c>
      <c r="BJ33" s="61"/>
      <c r="BK33" s="61"/>
      <c r="BM33" s="51">
        <f t="shared" si="465"/>
        <v>0</v>
      </c>
      <c r="BN33" s="51">
        <f t="shared" si="465"/>
        <v>0</v>
      </c>
      <c r="BO33" s="51">
        <f t="shared" si="465"/>
        <v>35</v>
      </c>
      <c r="BP33" s="51">
        <f t="shared" si="465"/>
        <v>0</v>
      </c>
      <c r="BQ33" s="51">
        <f t="shared" si="465"/>
        <v>0</v>
      </c>
      <c r="BR33" s="51">
        <f t="shared" si="465"/>
        <v>27</v>
      </c>
      <c r="BS33" s="52">
        <f>IF(COUNT(P33:T33)&gt;1,MINA(P33:T33)*BS$9,0)</f>
        <v>-8.1</v>
      </c>
      <c r="BT33" s="88">
        <f t="shared" si="466"/>
        <v>38</v>
      </c>
      <c r="BU33" s="88">
        <f t="shared" si="466"/>
        <v>0</v>
      </c>
      <c r="BV33" s="88">
        <f t="shared" si="466"/>
        <v>0</v>
      </c>
      <c r="BW33" s="88">
        <f t="shared" si="466"/>
        <v>6.54</v>
      </c>
      <c r="BX33" s="88">
        <f t="shared" si="466"/>
        <v>0</v>
      </c>
      <c r="BY33" s="88">
        <f t="shared" si="466"/>
        <v>0</v>
      </c>
      <c r="BZ33" s="88">
        <f t="shared" si="466"/>
        <v>0</v>
      </c>
      <c r="CA33" s="88">
        <f t="shared" si="466"/>
        <v>0</v>
      </c>
      <c r="CB33" s="88">
        <f t="shared" si="466"/>
        <v>0</v>
      </c>
      <c r="CC33" s="88">
        <f t="shared" si="466"/>
        <v>0</v>
      </c>
      <c r="CD33" s="103">
        <f>SUM(BM33:CC33)</f>
        <v>98.440000000000012</v>
      </c>
      <c r="CE33" s="52"/>
      <c r="CF33" s="107">
        <f>J33</f>
        <v>120.4</v>
      </c>
      <c r="CG33" s="104">
        <f>CD33/CF33</f>
        <v>0.81760797342192693</v>
      </c>
      <c r="CH33" s="53">
        <f>Seilareal/Lwl/Lwl</f>
        <v>0.75239419456638912</v>
      </c>
      <c r="CI33" s="119">
        <f>Seilareal/Depl^0.667/K$7</f>
        <v>1.1925468263263095</v>
      </c>
      <c r="CJ33" s="53">
        <f>Seilareal/Lwl/Lwl/SApRS1</f>
        <v>1.1416222110544227</v>
      </c>
      <c r="CK33" s="209"/>
      <c r="CL33" s="209">
        <f>(ROUND(TBF/CL$6,3)*CL$6)*CL$4</f>
        <v>98.500000000000014</v>
      </c>
      <c r="CM33" s="110">
        <f t="shared" si="234"/>
        <v>0.98337583807118889</v>
      </c>
      <c r="CN33" s="64">
        <f>IF(SeilBeregnet=0,"-",(SeilBeregnet)^(1/2)*StHfaktor/(Depl+DeplTillegg/1000+Vann/1000+Diesel/1000*0.84)^(1/3))</f>
        <v>3.2045334919830171</v>
      </c>
      <c r="CO33" s="64">
        <f t="shared" si="203"/>
        <v>1.7914525741926286</v>
      </c>
      <c r="CP33" s="64">
        <f t="shared" si="204"/>
        <v>1.8859172433475835</v>
      </c>
      <c r="CQ33" s="110">
        <f t="shared" si="205"/>
        <v>0.99394434046182945</v>
      </c>
      <c r="CR33" s="172" t="str">
        <f t="shared" si="390"/>
        <v>-</v>
      </c>
      <c r="CS33" s="162"/>
      <c r="CT33" s="172" t="str">
        <f t="shared" si="391"/>
        <v>-</v>
      </c>
      <c r="CU33" s="164"/>
      <c r="CV33" s="195" t="s">
        <v>145</v>
      </c>
      <c r="CW33" s="64">
        <v>0.96</v>
      </c>
      <c r="CX33" s="64">
        <v>0.92</v>
      </c>
      <c r="CY33" s="64">
        <v>0.95</v>
      </c>
      <c r="CZ33" s="154">
        <v>0.99</v>
      </c>
      <c r="DA33" s="64">
        <f t="shared" si="392"/>
        <v>2.1194274884384119</v>
      </c>
      <c r="DB33" s="49">
        <f t="shared" si="393"/>
        <v>13.92757660167131</v>
      </c>
      <c r="DC33" s="50">
        <f t="shared" si="394"/>
        <v>0</v>
      </c>
      <c r="DE33" s="110">
        <f>IF(SeilBeregnet=0,"-",DE$7*(DG:DG+DE$6)*DL:DL*PropF+ErfaringsF+Dyp_F)</f>
        <v>0.97759735089262401</v>
      </c>
      <c r="DF33" s="144" t="str">
        <f t="shared" si="446"/>
        <v>-</v>
      </c>
      <c r="DG33" s="110">
        <f t="shared" si="395"/>
        <v>5.13234699250388</v>
      </c>
      <c r="DH33" s="136">
        <f t="shared" si="409"/>
        <v>3.2677440358274423</v>
      </c>
      <c r="DI33" s="136">
        <f t="shared" si="410"/>
        <v>0</v>
      </c>
      <c r="DJ33" s="136">
        <f t="shared" si="411"/>
        <v>0</v>
      </c>
      <c r="DK33" s="136">
        <f t="shared" si="412"/>
        <v>1.8646029566764373</v>
      </c>
      <c r="DL33" s="110">
        <f t="shared" si="413"/>
        <v>1.8859172433475835</v>
      </c>
      <c r="DM33" s="136">
        <f t="shared" si="414"/>
        <v>2.0446520502738266</v>
      </c>
      <c r="DO33" s="110">
        <f t="shared" si="467"/>
        <v>1.003444732725703</v>
      </c>
      <c r="DP33" s="110">
        <f t="shared" si="396"/>
        <v>0.98224098232818202</v>
      </c>
      <c r="DR33" s="110">
        <f t="shared" si="397"/>
        <v>0.97574749968955998</v>
      </c>
      <c r="DS33" s="125" t="str">
        <f t="shared" si="447"/>
        <v>-</v>
      </c>
      <c r="DT33" s="110">
        <f t="shared" si="398"/>
        <v>0.98492787604588217</v>
      </c>
      <c r="DU33" s="125" t="str">
        <f t="shared" si="448"/>
        <v>-</v>
      </c>
      <c r="DV33" s="110">
        <f t="shared" si="415"/>
        <v>3.2674173884121251</v>
      </c>
      <c r="DW33" s="110">
        <f t="shared" si="416"/>
        <v>2.3298436208665341</v>
      </c>
      <c r="DX33" s="110">
        <f t="shared" si="417"/>
        <v>1.5916961163398649</v>
      </c>
      <c r="DZ33" s="110">
        <f t="shared" si="399"/>
        <v>0.98098504323878644</v>
      </c>
      <c r="EB33" s="110">
        <f t="shared" si="418"/>
        <v>3.2674173884121251</v>
      </c>
      <c r="EC33" s="110">
        <f t="shared" si="419"/>
        <v>2.3300209979525235</v>
      </c>
      <c r="ED33" s="110">
        <f t="shared" si="420"/>
        <v>1.8583176886572534</v>
      </c>
      <c r="EE33" s="110">
        <f t="shared" si="400"/>
        <v>0.97767095904859824</v>
      </c>
      <c r="EG33" s="110">
        <f t="shared" si="421"/>
        <v>5.2007355675969231</v>
      </c>
      <c r="EH33" s="110">
        <f t="shared" si="422"/>
        <v>3.2674173884121251</v>
      </c>
      <c r="EI33" s="110">
        <f t="shared" si="423"/>
        <v>1.5916961163398649</v>
      </c>
      <c r="EJ33" s="110">
        <f t="shared" si="424"/>
        <v>1.8859172433475835</v>
      </c>
      <c r="EK33" s="110">
        <f>IF(SeilBeregnet=0,"-",EK$7*(EK$4*EM:EM+EK$6)*EP:EP*PropF+ErfaringsF+Dyp_F)</f>
        <v>0.98161964267992241</v>
      </c>
      <c r="EM33" s="110">
        <f>IF(SeilBeregnet=0,EM32,(EN:EN*EO:EO)^EM$3)</f>
        <v>1.8229026655102509</v>
      </c>
      <c r="EN33" s="110">
        <f t="shared" si="425"/>
        <v>3.2674173884121251</v>
      </c>
      <c r="EO33" s="110">
        <f t="shared" si="426"/>
        <v>1.0170032575909294</v>
      </c>
      <c r="EP33" s="110">
        <f t="shared" si="427"/>
        <v>1.9111244003334622</v>
      </c>
      <c r="EQ33" s="110">
        <f>IF(SeilBeregnet=0,"-",EQ$7*(ES:ES+EQ$6)*EV:EV*PropF+ErfaringsF+Dyp_F)</f>
        <v>0.95334942166370196</v>
      </c>
      <c r="ES33" s="110">
        <f>(ET:ET*EU:EU)^ES$3</f>
        <v>1.8229937820546289</v>
      </c>
      <c r="ET33" s="110">
        <f t="shared" si="428"/>
        <v>3.2677440358274423</v>
      </c>
      <c r="EU33" s="110">
        <f t="shared" si="429"/>
        <v>1.0170032575909294</v>
      </c>
      <c r="EV33" s="110">
        <f t="shared" si="430"/>
        <v>1.9111244003334622</v>
      </c>
      <c r="EW33" s="110">
        <f>IF(SeilBeregnet=0,"-",EW$7*(EY:EY+EW$6)*FB:FB*PropF+ErfaringsF+Dyp_F)</f>
        <v>0.98867209646138088</v>
      </c>
      <c r="EX33" s="144" t="str">
        <f t="shared" si="449"/>
        <v>-</v>
      </c>
      <c r="EY33" s="110">
        <f>(EZ:EZ*FA:FA)^EY$3</f>
        <v>3.379813362982361</v>
      </c>
      <c r="EZ33" s="136">
        <f t="shared" si="431"/>
        <v>3.2677440358274423</v>
      </c>
      <c r="FA33" s="136">
        <f t="shared" si="432"/>
        <v>1.0342956259505622</v>
      </c>
      <c r="FB33" s="110">
        <f t="shared" si="433"/>
        <v>1.0747042278871302</v>
      </c>
      <c r="FC33" s="110">
        <f>IF(SeilBeregnet=0,"-",FC$7*(FE:FE+FC$6)*FI:FI*PropF+ErfaringsF+Dyp_F)</f>
        <v>0.98067767535734374</v>
      </c>
      <c r="FD33" s="144" t="str">
        <f t="shared" si="450"/>
        <v>-</v>
      </c>
      <c r="FE33" s="110">
        <f>(FF:FF+FG:FG+FH:FH)^FE$3+FE$7</f>
        <v>5.4166705817410312</v>
      </c>
      <c r="FF33" s="136">
        <f t="shared" si="434"/>
        <v>3.2677440358274423</v>
      </c>
      <c r="FG33" s="136">
        <f t="shared" si="435"/>
        <v>0.78432358923715173</v>
      </c>
      <c r="FH33" s="136">
        <f t="shared" si="436"/>
        <v>1.8646029566764373</v>
      </c>
      <c r="FI33" s="110">
        <f t="shared" si="437"/>
        <v>1.8859172433475835</v>
      </c>
      <c r="FJ33" s="110">
        <f>IF(SeilBeregnet=0,"-",FJ$7*(FL:FL+FJ$6)*FO:FO*PropF+ErfaringsF+Dyp_F)</f>
        <v>0.98980169409367558</v>
      </c>
      <c r="FK33" s="144" t="str">
        <f t="shared" si="451"/>
        <v>-</v>
      </c>
      <c r="FL33" s="110">
        <f>(FM:FM*FN:FN)^FL$3</f>
        <v>6.0930451908656424</v>
      </c>
      <c r="FM33" s="136">
        <f t="shared" si="438"/>
        <v>3.2677440358274423</v>
      </c>
      <c r="FN33" s="136">
        <f t="shared" si="439"/>
        <v>1.8646029566764373</v>
      </c>
      <c r="FO33" s="110">
        <f t="shared" si="440"/>
        <v>1.8859172433475835</v>
      </c>
      <c r="FQ33">
        <v>0.95</v>
      </c>
      <c r="FR33" s="64">
        <f t="shared" si="452"/>
        <v>1.2026009689031256</v>
      </c>
      <c r="FS33" s="479"/>
      <c r="FT33" s="18"/>
      <c r="FU33" s="481"/>
      <c r="FV33" s="504"/>
      <c r="FW33" s="18"/>
      <c r="FX33" s="18"/>
      <c r="FY33" s="18"/>
      <c r="FZ33" s="18"/>
      <c r="GB33" s="18"/>
      <c r="GC33" s="481"/>
      <c r="GD33" s="8"/>
      <c r="GE33" s="8"/>
      <c r="GF33" s="8"/>
      <c r="GG33" s="8"/>
      <c r="GI33" s="18"/>
      <c r="GJ33" s="18"/>
      <c r="GK33" s="18"/>
      <c r="GL33" s="18"/>
      <c r="GM33" s="18"/>
      <c r="GN33" s="18"/>
      <c r="GO33" s="18"/>
      <c r="GP33" s="18"/>
    </row>
    <row r="34" spans="1:198" ht="15.6" x14ac:dyDescent="0.3">
      <c r="A34" s="62" t="s">
        <v>36</v>
      </c>
      <c r="B34" s="223"/>
      <c r="C34" s="14" t="str">
        <f>C36</f>
        <v>Gaffel</v>
      </c>
      <c r="G34" s="56"/>
      <c r="H34" s="209">
        <f>TBFavrundet</f>
        <v>86.5</v>
      </c>
      <c r="I34" s="65">
        <f>COUNTA(O34:AD34)</f>
        <v>2</v>
      </c>
      <c r="J34" s="228">
        <f>SUM(O34:AD34)</f>
        <v>74.5</v>
      </c>
      <c r="K34" s="119">
        <f>Seilareal/Depl^0.667/K$7</f>
        <v>0.73791311097433598</v>
      </c>
      <c r="L34" s="119">
        <f>Seilareal/Lwl/Lwl/L$7</f>
        <v>0.7064024478700538</v>
      </c>
      <c r="M34" s="95">
        <f>RiggF</f>
        <v>0.87248322147651003</v>
      </c>
      <c r="N34" s="265">
        <f>StHfaktor</f>
        <v>0.99394434046182945</v>
      </c>
      <c r="O34" s="147"/>
      <c r="P34" s="147"/>
      <c r="Q34" s="147"/>
      <c r="R34" s="147"/>
      <c r="S34" s="147"/>
      <c r="T34" s="169">
        <v>27</v>
      </c>
      <c r="U34" s="169">
        <v>47.5</v>
      </c>
      <c r="V34" s="148"/>
      <c r="W34" s="148"/>
      <c r="X34" s="148"/>
      <c r="Y34" s="147"/>
      <c r="Z34" s="147"/>
      <c r="AA34" s="147"/>
      <c r="AB34" s="147"/>
      <c r="AC34" s="147"/>
      <c r="AD34" s="147"/>
      <c r="AE34" s="260">
        <f t="shared" ref="AE34" si="473">AE33</f>
        <v>12.05</v>
      </c>
      <c r="AF34" s="375">
        <f t="shared" si="459"/>
        <v>0</v>
      </c>
      <c r="AG34" s="377"/>
      <c r="AH34" s="375">
        <f t="shared" si="459"/>
        <v>0</v>
      </c>
      <c r="AI34" s="377"/>
      <c r="AJ34" s="295" t="str">
        <f t="shared" ref="AJ34" si="474" xml:space="preserve"> AJ33</f>
        <v>Lystb</v>
      </c>
      <c r="AK34" s="47">
        <f>VLOOKUP(AJ34,Skrogform!$1:$1048576,3,FALSE)</f>
        <v>0.98</v>
      </c>
      <c r="AL34" s="66">
        <f t="shared" ref="AL34:AT34" si="475">AL33</f>
        <v>14.95</v>
      </c>
      <c r="AM34" s="66">
        <f t="shared" si="475"/>
        <v>12.65</v>
      </c>
      <c r="AN34" s="66">
        <f t="shared" si="475"/>
        <v>4.3</v>
      </c>
      <c r="AO34" s="66">
        <f t="shared" si="475"/>
        <v>2.5</v>
      </c>
      <c r="AP34" s="66">
        <f t="shared" si="475"/>
        <v>28</v>
      </c>
      <c r="AQ34" s="66">
        <f t="shared" si="475"/>
        <v>8</v>
      </c>
      <c r="AR34" s="66">
        <f t="shared" si="475"/>
        <v>0.5</v>
      </c>
      <c r="AS34" s="284">
        <f t="shared" si="475"/>
        <v>120</v>
      </c>
      <c r="AT34" s="284">
        <f t="shared" si="475"/>
        <v>900</v>
      </c>
      <c r="AU34" s="284">
        <f t="shared" ref="AU34:AV34" si="476">AU33</f>
        <v>650</v>
      </c>
      <c r="AV34" s="284">
        <f t="shared" si="476"/>
        <v>350</v>
      </c>
      <c r="AW34" s="284"/>
      <c r="AX34" s="284">
        <f>AX33</f>
        <v>400</v>
      </c>
      <c r="AY34" s="68"/>
      <c r="AZ34" s="68"/>
      <c r="BA34" s="289"/>
      <c r="BB34" s="68"/>
      <c r="BC34" s="179"/>
      <c r="BD34" s="68"/>
      <c r="BE34" s="68"/>
      <c r="BF34" s="67" t="str">
        <f t="shared" ref="BF34:BH34" si="477" xml:space="preserve"> BF33</f>
        <v>Seilrett</v>
      </c>
      <c r="BG34" s="295">
        <f t="shared" si="477"/>
        <v>3</v>
      </c>
      <c r="BH34" s="295">
        <f t="shared" si="477"/>
        <v>60</v>
      </c>
      <c r="BI34" s="47">
        <f t="shared" si="464"/>
        <v>1</v>
      </c>
      <c r="BJ34" s="61"/>
      <c r="BK34" s="61"/>
      <c r="BM34" s="51">
        <f t="shared" si="465"/>
        <v>0</v>
      </c>
      <c r="BN34" s="51">
        <f t="shared" si="465"/>
        <v>0</v>
      </c>
      <c r="BO34" s="51">
        <f t="shared" si="465"/>
        <v>0</v>
      </c>
      <c r="BP34" s="51">
        <f t="shared" si="465"/>
        <v>0</v>
      </c>
      <c r="BQ34" s="51">
        <f t="shared" si="465"/>
        <v>0</v>
      </c>
      <c r="BR34" s="51">
        <f t="shared" si="465"/>
        <v>27</v>
      </c>
      <c r="BS34" s="52">
        <f>IF(COUNT(P34:T34)&gt;1,MINA(P34:T34)*BS$9,0)</f>
        <v>0</v>
      </c>
      <c r="BT34" s="88">
        <f t="shared" si="466"/>
        <v>38</v>
      </c>
      <c r="BU34" s="88">
        <f t="shared" si="466"/>
        <v>0</v>
      </c>
      <c r="BV34" s="88">
        <f t="shared" si="466"/>
        <v>0</v>
      </c>
      <c r="BW34" s="88">
        <f t="shared" si="466"/>
        <v>0</v>
      </c>
      <c r="BX34" s="88">
        <f t="shared" si="466"/>
        <v>0</v>
      </c>
      <c r="BY34" s="88">
        <f t="shared" si="466"/>
        <v>0</v>
      </c>
      <c r="BZ34" s="88">
        <f t="shared" si="466"/>
        <v>0</v>
      </c>
      <c r="CA34" s="88">
        <f t="shared" si="466"/>
        <v>0</v>
      </c>
      <c r="CB34" s="88">
        <f t="shared" si="466"/>
        <v>0</v>
      </c>
      <c r="CC34" s="88">
        <f t="shared" si="466"/>
        <v>0</v>
      </c>
      <c r="CD34" s="103">
        <f>SUM(BM34:CC34)</f>
        <v>65</v>
      </c>
      <c r="CE34" s="52"/>
      <c r="CF34" s="107">
        <f>J34</f>
        <v>74.5</v>
      </c>
      <c r="CG34" s="104">
        <f>CD34/CF34</f>
        <v>0.87248322147651003</v>
      </c>
      <c r="CH34" s="53">
        <f>Seilareal/Lwl/Lwl</f>
        <v>0.46555953069099654</v>
      </c>
      <c r="CI34" s="119">
        <f>Seilareal/Depl^0.667/K$7</f>
        <v>0.73791311097433598</v>
      </c>
      <c r="CJ34" s="53">
        <f>Seilareal/Lwl/Lwl/SApRS1</f>
        <v>0.7064024478700538</v>
      </c>
      <c r="CK34" s="209"/>
      <c r="CL34" s="209">
        <f>(ROUND(TBF/CL$6,3)*CL$6)*CL$4</f>
        <v>86.5</v>
      </c>
      <c r="CM34" s="110">
        <f t="shared" si="234"/>
        <v>0.86516467733204416</v>
      </c>
      <c r="CN34" s="64">
        <f>IF(SeilBeregnet=0,"-",(SeilBeregnet)^(1/2)*StHfaktor/(Depl+DeplTillegg/1000+Vann/1000+Diesel/1000*0.84)^(1/3))</f>
        <v>2.6039682868447729</v>
      </c>
      <c r="CO34" s="64">
        <f t="shared" si="203"/>
        <v>1.7914525741926286</v>
      </c>
      <c r="CP34" s="64">
        <f t="shared" si="204"/>
        <v>1.8859172433475835</v>
      </c>
      <c r="CQ34" s="110">
        <f t="shared" si="205"/>
        <v>0.99394434046182945</v>
      </c>
      <c r="CR34" s="172" t="str">
        <f t="shared" si="390"/>
        <v>-</v>
      </c>
      <c r="CS34" s="162"/>
      <c r="CT34" s="172" t="str">
        <f t="shared" si="391"/>
        <v>-</v>
      </c>
      <c r="CU34" s="164"/>
      <c r="CV34" s="195" t="s">
        <v>145</v>
      </c>
      <c r="CW34" s="64">
        <v>0.83</v>
      </c>
      <c r="CX34" s="64">
        <v>0.84</v>
      </c>
      <c r="CY34" s="64">
        <v>0.83</v>
      </c>
      <c r="CZ34" s="154">
        <v>0.86</v>
      </c>
      <c r="DA34" s="64">
        <f t="shared" si="392"/>
        <v>2.1194274884384119</v>
      </c>
      <c r="DB34" s="49">
        <f t="shared" si="393"/>
        <v>13.92757660167131</v>
      </c>
      <c r="DC34" s="50">
        <f t="shared" si="394"/>
        <v>0</v>
      </c>
      <c r="DE34" s="110">
        <f>IF(SeilBeregnet=0,"-",DE$7*(DG:DG+DE$6)*DL:DL*PropF+ErfaringsF+Dyp_F)</f>
        <v>0.86094664053644798</v>
      </c>
      <c r="DF34" s="144" t="str">
        <f t="shared" si="446"/>
        <v>-</v>
      </c>
      <c r="DG34" s="110">
        <f t="shared" si="395"/>
        <v>4.5199354286598208</v>
      </c>
      <c r="DH34" s="136">
        <f t="shared" si="409"/>
        <v>2.6553324719833831</v>
      </c>
      <c r="DI34" s="136">
        <f t="shared" si="410"/>
        <v>0</v>
      </c>
      <c r="DJ34" s="136">
        <f t="shared" si="411"/>
        <v>0</v>
      </c>
      <c r="DK34" s="136">
        <f t="shared" si="412"/>
        <v>1.8646029566764373</v>
      </c>
      <c r="DL34" s="110">
        <f t="shared" si="413"/>
        <v>1.8859172433475835</v>
      </c>
      <c r="DM34" s="136">
        <f t="shared" si="414"/>
        <v>2.0446520502738266</v>
      </c>
      <c r="DO34" s="110">
        <f t="shared" si="467"/>
        <v>0.88282109931841246</v>
      </c>
      <c r="DP34" s="110">
        <f t="shared" si="396"/>
        <v>0.83513650293690067</v>
      </c>
      <c r="DR34" s="110">
        <f t="shared" si="397"/>
        <v>0.85583805255735956</v>
      </c>
      <c r="DS34" s="125" t="str">
        <f t="shared" si="447"/>
        <v>-</v>
      </c>
      <c r="DT34" s="110">
        <f t="shared" si="398"/>
        <v>0.84262148009682836</v>
      </c>
      <c r="DU34" s="125" t="str">
        <f t="shared" si="448"/>
        <v>-</v>
      </c>
      <c r="DV34" s="110">
        <f t="shared" si="415"/>
        <v>2.6550670419254376</v>
      </c>
      <c r="DW34" s="110">
        <f t="shared" si="416"/>
        <v>2.3298436208665341</v>
      </c>
      <c r="DX34" s="110">
        <f t="shared" si="417"/>
        <v>1.5916961163398649</v>
      </c>
      <c r="DZ34" s="110">
        <f t="shared" si="399"/>
        <v>0.85188758894486893</v>
      </c>
      <c r="EB34" s="110">
        <f t="shared" si="418"/>
        <v>2.6550670419254376</v>
      </c>
      <c r="EC34" s="110">
        <f t="shared" si="419"/>
        <v>2.3300209979525235</v>
      </c>
      <c r="ED34" s="110">
        <f t="shared" si="420"/>
        <v>1.8583176886572534</v>
      </c>
      <c r="EE34" s="110">
        <f t="shared" si="400"/>
        <v>0.84533557657495828</v>
      </c>
      <c r="EG34" s="110">
        <f t="shared" si="421"/>
        <v>4.2260598992546923</v>
      </c>
      <c r="EH34" s="110">
        <f t="shared" si="422"/>
        <v>2.6550670419254376</v>
      </c>
      <c r="EI34" s="110">
        <f t="shared" si="423"/>
        <v>1.5916961163398649</v>
      </c>
      <c r="EJ34" s="110">
        <f t="shared" si="424"/>
        <v>1.8859172433475835</v>
      </c>
      <c r="EK34" s="110">
        <f>IF(SeilBeregnet=0,"-",EK$7*(EK$4*EM:EM+EK$6)*EP:EP*PropF+ErfaringsF+Dyp_F)</f>
        <v>0.84830059196368157</v>
      </c>
      <c r="EM34" s="110">
        <f>IF(SeilBeregnet=0,EM33,(EN:EN*EO:EO)^EM$3)</f>
        <v>1.6432321292989869</v>
      </c>
      <c r="EN34" s="110">
        <f t="shared" si="425"/>
        <v>2.6550670419254376</v>
      </c>
      <c r="EO34" s="110">
        <f t="shared" si="426"/>
        <v>1.0170032575909294</v>
      </c>
      <c r="EP34" s="110">
        <f t="shared" si="427"/>
        <v>1.9111244003334622</v>
      </c>
      <c r="EQ34" s="110">
        <f>IF(SeilBeregnet=0,"-",EQ$7*(ES:ES+EQ$6)*EV:EV*PropF+ErfaringsF+Dyp_F)</f>
        <v>0.8593845572593426</v>
      </c>
      <c r="ES34" s="110">
        <f>(ET:ET*EU:EU)^ES$3</f>
        <v>1.6433142651343582</v>
      </c>
      <c r="ET34" s="110">
        <f t="shared" si="428"/>
        <v>2.6553324719833831</v>
      </c>
      <c r="EU34" s="110">
        <f t="shared" si="429"/>
        <v>1.0170032575909294</v>
      </c>
      <c r="EV34" s="110">
        <f t="shared" si="430"/>
        <v>1.9111244003334622</v>
      </c>
      <c r="EW34" s="110">
        <f>IF(SeilBeregnet=0,"-",EW$7*(EY:EY+EW$6)*FB:FB*PropF+ErfaringsF+Dyp_F)</f>
        <v>0.87226669352198616</v>
      </c>
      <c r="EX34" s="144" t="str">
        <f t="shared" si="449"/>
        <v>-</v>
      </c>
      <c r="EY34" s="110">
        <f>(EZ:EZ*FA:FA)^EY$3</f>
        <v>2.746398761216907</v>
      </c>
      <c r="EZ34" s="136">
        <f t="shared" si="431"/>
        <v>2.6553324719833831</v>
      </c>
      <c r="FA34" s="136">
        <f t="shared" si="432"/>
        <v>1.0342956259505622</v>
      </c>
      <c r="FB34" s="110">
        <f t="shared" si="433"/>
        <v>1.0747042278871302</v>
      </c>
      <c r="FC34" s="110">
        <f>IF(SeilBeregnet=0,"-",FC$7*(FE:FE+FC$6)*FI:FI*PropF+ErfaringsF+Dyp_F)</f>
        <v>0.84318932501353683</v>
      </c>
      <c r="FD34" s="144" t="str">
        <f t="shared" si="450"/>
        <v>-</v>
      </c>
      <c r="FE34" s="110">
        <f>(FF:FF+FG:FG+FH:FH)^FE$3+FE$7</f>
        <v>4.6572680569838161</v>
      </c>
      <c r="FF34" s="136">
        <f t="shared" si="434"/>
        <v>2.6553324719833831</v>
      </c>
      <c r="FG34" s="136">
        <f t="shared" si="435"/>
        <v>0.63733262832399595</v>
      </c>
      <c r="FH34" s="136">
        <f t="shared" si="436"/>
        <v>1.8646029566764373</v>
      </c>
      <c r="FI34" s="110">
        <f t="shared" si="437"/>
        <v>1.8859172433475835</v>
      </c>
      <c r="FJ34" s="110">
        <f>IF(SeilBeregnet=0,"-",FJ$7*(FL:FL+FJ$6)*FO:FO*PropF+ErfaringsF+Dyp_F)</f>
        <v>0.87781775854631239</v>
      </c>
      <c r="FK34" s="144" t="str">
        <f t="shared" si="451"/>
        <v>-</v>
      </c>
      <c r="FL34" s="110">
        <f>(FM:FM*FN:FN)^FL$3</f>
        <v>4.9511407782191688</v>
      </c>
      <c r="FM34" s="136">
        <f t="shared" si="438"/>
        <v>2.6553324719833831</v>
      </c>
      <c r="FN34" s="136">
        <f t="shared" si="439"/>
        <v>1.8646029566764373</v>
      </c>
      <c r="FO34" s="110">
        <f t="shared" si="440"/>
        <v>1.8859172433475835</v>
      </c>
      <c r="FQ34">
        <v>0.95</v>
      </c>
      <c r="FR34" s="64">
        <f t="shared" si="452"/>
        <v>1.0999895323122508</v>
      </c>
      <c r="FS34" s="479"/>
      <c r="FT34" s="18"/>
      <c r="FU34" s="481"/>
      <c r="FV34" s="504"/>
      <c r="FW34" s="18"/>
      <c r="FX34" s="18"/>
      <c r="FY34" s="18"/>
      <c r="FZ34" s="18"/>
      <c r="GB34" s="18"/>
      <c r="GC34" s="481"/>
      <c r="GD34" s="8"/>
      <c r="GE34" s="8"/>
      <c r="GF34" s="8"/>
      <c r="GG34" s="8"/>
      <c r="GI34" s="18"/>
      <c r="GJ34" s="18"/>
      <c r="GK34" s="18"/>
      <c r="GL34" s="18"/>
      <c r="GM34" s="18"/>
      <c r="GN34" s="18"/>
      <c r="GO34" s="18"/>
      <c r="GP34" s="18"/>
    </row>
    <row r="35" spans="1:198" ht="15.6" x14ac:dyDescent="0.3">
      <c r="A35" s="62" t="s">
        <v>684</v>
      </c>
      <c r="B35" s="223"/>
      <c r="C35" s="63" t="str">
        <f>C30</f>
        <v>Gaffel</v>
      </c>
      <c r="D35" s="63"/>
      <c r="E35" s="63"/>
      <c r="F35" s="63"/>
      <c r="G35" s="56"/>
      <c r="H35" s="209">
        <f>TBFavrundet</f>
        <v>108.5</v>
      </c>
      <c r="I35" s="65">
        <f>COUNTA(O35:AD35)</f>
        <v>5</v>
      </c>
      <c r="J35" s="228">
        <f>SUM(O35:AD35)</f>
        <v>165.20000000000002</v>
      </c>
      <c r="K35" s="119">
        <f>Seilareal/Depl^0.667/K$7</f>
        <v>1.6362851803081924</v>
      </c>
      <c r="L35" s="119">
        <f>Seilareal/Lwl/Lwl/L$7</f>
        <v>1.5664118709816497</v>
      </c>
      <c r="M35" s="95">
        <f>RiggF</f>
        <v>0.80532687651331725</v>
      </c>
      <c r="N35" s="265">
        <f>StHfaktor</f>
        <v>0.99394434046182945</v>
      </c>
      <c r="O35" s="147"/>
      <c r="P35" s="169">
        <v>59.4</v>
      </c>
      <c r="Q35" s="147"/>
      <c r="R35" s="147"/>
      <c r="S35" s="147"/>
      <c r="T35" s="169">
        <v>27</v>
      </c>
      <c r="U35" s="169">
        <v>47.5</v>
      </c>
      <c r="V35" s="148"/>
      <c r="W35" s="148"/>
      <c r="X35" s="169">
        <v>10.9</v>
      </c>
      <c r="Y35" s="169">
        <v>20.399999999999999</v>
      </c>
      <c r="Z35" s="147"/>
      <c r="AA35" s="147"/>
      <c r="AB35" s="147"/>
      <c r="AC35" s="147"/>
      <c r="AD35" s="147"/>
      <c r="AE35" s="260">
        <f t="shared" ref="AE35" si="478">AE34</f>
        <v>12.05</v>
      </c>
      <c r="AF35" s="375">
        <f t="shared" si="459"/>
        <v>0</v>
      </c>
      <c r="AG35" s="377"/>
      <c r="AH35" s="375">
        <f t="shared" si="459"/>
        <v>0</v>
      </c>
      <c r="AI35" s="377"/>
      <c r="AJ35" s="295" t="str">
        <f t="shared" ref="AJ35" si="479" xml:space="preserve"> AJ34</f>
        <v>Lystb</v>
      </c>
      <c r="AK35" s="47">
        <f>VLOOKUP(AJ35,Skrogform!$1:$1048576,3,FALSE)</f>
        <v>0.98</v>
      </c>
      <c r="AL35" s="66">
        <f t="shared" ref="AL35:AT35" si="480">AL34</f>
        <v>14.95</v>
      </c>
      <c r="AM35" s="66">
        <f t="shared" si="480"/>
        <v>12.65</v>
      </c>
      <c r="AN35" s="66">
        <f t="shared" si="480"/>
        <v>4.3</v>
      </c>
      <c r="AO35" s="66">
        <f t="shared" si="480"/>
        <v>2.5</v>
      </c>
      <c r="AP35" s="66">
        <f t="shared" si="480"/>
        <v>28</v>
      </c>
      <c r="AQ35" s="66">
        <f t="shared" si="480"/>
        <v>8</v>
      </c>
      <c r="AR35" s="66">
        <f t="shared" si="480"/>
        <v>0.5</v>
      </c>
      <c r="AS35" s="284">
        <f t="shared" si="480"/>
        <v>120</v>
      </c>
      <c r="AT35" s="284">
        <f t="shared" si="480"/>
        <v>900</v>
      </c>
      <c r="AU35" s="284">
        <f t="shared" ref="AU35:AV35" si="481">AU34</f>
        <v>650</v>
      </c>
      <c r="AV35" s="284">
        <f t="shared" si="481"/>
        <v>350</v>
      </c>
      <c r="AW35" s="284"/>
      <c r="AX35" s="284">
        <f>AX34</f>
        <v>400</v>
      </c>
      <c r="AY35" s="68"/>
      <c r="AZ35" s="68"/>
      <c r="BA35" s="289"/>
      <c r="BB35" s="68"/>
      <c r="BC35" s="179"/>
      <c r="BD35" s="68"/>
      <c r="BE35" s="68"/>
      <c r="BF35" s="67" t="str">
        <f t="shared" ref="BF35:BH35" si="482" xml:space="preserve"> BF34</f>
        <v>Seilrett</v>
      </c>
      <c r="BG35" s="295">
        <f t="shared" si="482"/>
        <v>3</v>
      </c>
      <c r="BH35" s="295">
        <f t="shared" si="482"/>
        <v>60</v>
      </c>
      <c r="BI35" s="47">
        <f t="shared" si="464"/>
        <v>1</v>
      </c>
      <c r="BJ35" s="61"/>
      <c r="BK35" s="61"/>
      <c r="BM35" s="51">
        <f t="shared" si="465"/>
        <v>0</v>
      </c>
      <c r="BN35" s="51">
        <f t="shared" si="465"/>
        <v>59.4</v>
      </c>
      <c r="BO35" s="51">
        <f t="shared" si="465"/>
        <v>0</v>
      </c>
      <c r="BP35" s="51">
        <f t="shared" si="465"/>
        <v>0</v>
      </c>
      <c r="BQ35" s="51">
        <f t="shared" si="465"/>
        <v>0</v>
      </c>
      <c r="BR35" s="51">
        <f t="shared" si="465"/>
        <v>27</v>
      </c>
      <c r="BS35" s="52">
        <f>IF(COUNT(P35:T35)&gt;1,MINA(P35:T35)*BS$9,0)</f>
        <v>-8.1</v>
      </c>
      <c r="BT35" s="88">
        <f t="shared" si="466"/>
        <v>38</v>
      </c>
      <c r="BU35" s="88">
        <f t="shared" si="466"/>
        <v>0</v>
      </c>
      <c r="BV35" s="88">
        <f t="shared" si="466"/>
        <v>0</v>
      </c>
      <c r="BW35" s="88">
        <f t="shared" si="466"/>
        <v>6.54</v>
      </c>
      <c r="BX35" s="88">
        <f t="shared" si="466"/>
        <v>10.199999999999999</v>
      </c>
      <c r="BY35" s="88">
        <f t="shared" si="466"/>
        <v>0</v>
      </c>
      <c r="BZ35" s="88">
        <f t="shared" si="466"/>
        <v>0</v>
      </c>
      <c r="CA35" s="88">
        <f t="shared" si="466"/>
        <v>0</v>
      </c>
      <c r="CB35" s="88">
        <f t="shared" si="466"/>
        <v>0</v>
      </c>
      <c r="CC35" s="88">
        <f t="shared" si="466"/>
        <v>0</v>
      </c>
      <c r="CD35" s="103">
        <f>SUM(BM35:CC35)</f>
        <v>133.04000000000002</v>
      </c>
      <c r="CE35" s="52"/>
      <c r="CF35" s="107">
        <f>J35</f>
        <v>165.20000000000002</v>
      </c>
      <c r="CG35" s="104">
        <f>CD35/CF35</f>
        <v>0.80532687651331725</v>
      </c>
      <c r="CH35" s="53">
        <f>Seilareal/Lwl/Lwl</f>
        <v>1.0323548251027199</v>
      </c>
      <c r="CI35" s="119">
        <f>Seilareal/Depl^0.667/K$7</f>
        <v>1.6362851803081924</v>
      </c>
      <c r="CJ35" s="53">
        <f>Seilareal/Lwl/Lwl/SApRS1</f>
        <v>1.5664118709816497</v>
      </c>
      <c r="CK35" s="209"/>
      <c r="CL35" s="209">
        <f>(ROUND(TBF/CL$6,3)*CL$6)*CL$4</f>
        <v>108.5</v>
      </c>
      <c r="CM35" s="110">
        <f t="shared" si="234"/>
        <v>1.0858949572551053</v>
      </c>
      <c r="CN35" s="64">
        <f>IF(SeilBeregnet=0,"-",(SeilBeregnet)^(1/2)*StHfaktor/(Depl+DeplTillegg/1000+Vann/1000+Diesel/1000*0.84)^(1/3))</f>
        <v>3.7253761557239264</v>
      </c>
      <c r="CO35" s="64">
        <f t="shared" si="203"/>
        <v>1.7914525741926286</v>
      </c>
      <c r="CP35" s="64">
        <f t="shared" si="204"/>
        <v>1.8859172433475835</v>
      </c>
      <c r="CQ35" s="110">
        <f t="shared" si="205"/>
        <v>0.99394434046182945</v>
      </c>
      <c r="CR35" s="172" t="str">
        <f t="shared" si="390"/>
        <v>-</v>
      </c>
      <c r="CS35" s="163"/>
      <c r="CT35" s="172" t="str">
        <f t="shared" si="391"/>
        <v>-</v>
      </c>
      <c r="CU35" s="163"/>
      <c r="CV35" s="195" t="s">
        <v>145</v>
      </c>
      <c r="CW35" s="64">
        <v>1.07</v>
      </c>
      <c r="CX35" s="64">
        <v>0.99</v>
      </c>
      <c r="CY35" s="64">
        <v>1.06</v>
      </c>
      <c r="CZ35" s="154">
        <v>1.18</v>
      </c>
      <c r="DA35" s="64">
        <f t="shared" si="392"/>
        <v>2.1194274884384119</v>
      </c>
      <c r="DB35" s="49">
        <f t="shared" si="393"/>
        <v>13.92757660167131</v>
      </c>
      <c r="DC35" s="50">
        <f t="shared" si="394"/>
        <v>0</v>
      </c>
      <c r="DE35" s="110">
        <f>IF(SeilBeregnet=0,"-",DE$7*(DG:DG+DE$6)*DL:DL*PropF+ErfaringsF+Dyp_F)</f>
        <v>1.0787631630132153</v>
      </c>
      <c r="DF35" s="144" t="str">
        <f t="shared" si="446"/>
        <v>-</v>
      </c>
      <c r="DG35" s="110">
        <f t="shared" si="395"/>
        <v>5.6634634599403366</v>
      </c>
      <c r="DH35" s="136">
        <f t="shared" si="409"/>
        <v>3.7988605032638993</v>
      </c>
      <c r="DI35" s="136">
        <f t="shared" si="410"/>
        <v>0</v>
      </c>
      <c r="DJ35" s="136">
        <f t="shared" si="411"/>
        <v>0</v>
      </c>
      <c r="DK35" s="136">
        <f t="shared" si="412"/>
        <v>1.8646029566764373</v>
      </c>
      <c r="DL35" s="110">
        <f t="shared" si="413"/>
        <v>1.8859172433475835</v>
      </c>
      <c r="DM35" s="136">
        <f t="shared" si="414"/>
        <v>2.0446520502738266</v>
      </c>
      <c r="DO35" s="110">
        <f t="shared" si="258"/>
        <v>1.1080560788317402</v>
      </c>
      <c r="DP35" s="110">
        <f t="shared" si="396"/>
        <v>1.1098179518876121</v>
      </c>
      <c r="DR35" s="110">
        <f t="shared" si="397"/>
        <v>1.0797394647879355</v>
      </c>
      <c r="DS35" s="125" t="str">
        <f t="shared" si="447"/>
        <v>-</v>
      </c>
      <c r="DT35" s="110">
        <f t="shared" si="398"/>
        <v>1.1083436878500512</v>
      </c>
      <c r="DU35" s="125" t="str">
        <f t="shared" si="448"/>
        <v>-</v>
      </c>
      <c r="DV35" s="110">
        <f t="shared" si="415"/>
        <v>3.7984807648416314</v>
      </c>
      <c r="DW35" s="110">
        <f t="shared" si="416"/>
        <v>2.3298436208665341</v>
      </c>
      <c r="DX35" s="110">
        <f t="shared" si="417"/>
        <v>1.5916961163398649</v>
      </c>
      <c r="DZ35" s="110">
        <f t="shared" si="399"/>
        <v>1.0929453456361531</v>
      </c>
      <c r="EB35" s="110">
        <f t="shared" si="418"/>
        <v>3.7984807648416314</v>
      </c>
      <c r="EC35" s="110">
        <f t="shared" si="419"/>
        <v>2.3300209979525235</v>
      </c>
      <c r="ED35" s="110">
        <f t="shared" si="420"/>
        <v>1.8583176886572534</v>
      </c>
      <c r="EE35" s="110">
        <f t="shared" si="400"/>
        <v>1.0924393680823463</v>
      </c>
      <c r="EG35" s="110">
        <f t="shared" si="421"/>
        <v>6.046027081390104</v>
      </c>
      <c r="EH35" s="110">
        <f t="shared" si="422"/>
        <v>3.7984807648416314</v>
      </c>
      <c r="EI35" s="110">
        <f t="shared" si="423"/>
        <v>1.5916961163398649</v>
      </c>
      <c r="EJ35" s="110">
        <f t="shared" si="424"/>
        <v>1.8859172433475835</v>
      </c>
      <c r="EK35" s="110">
        <f>IF(SeilBeregnet=0,"-",EK$7*(EK$4*EM:EM+EK$6)*EP:EP*PropF+ErfaringsF+Dyp_F)</f>
        <v>1.0874064467428415</v>
      </c>
      <c r="EM35" s="110">
        <f>IF(SeilBeregnet=0,EM34,(EN:EN*EO:EO)^EM$3)</f>
        <v>1.9654687257090671</v>
      </c>
      <c r="EN35" s="110">
        <f t="shared" si="425"/>
        <v>3.7984807648416314</v>
      </c>
      <c r="EO35" s="110">
        <f t="shared" si="426"/>
        <v>1.0170032575909294</v>
      </c>
      <c r="EP35" s="110">
        <f t="shared" si="427"/>
        <v>1.9111244003334622</v>
      </c>
      <c r="EQ35" s="110">
        <f>IF(SeilBeregnet=0,"-",EQ$7*(ES:ES+EQ$6)*EV:EV*PropF+ErfaringsF+Dyp_F)</f>
        <v>1.0279092287290832</v>
      </c>
      <c r="ES35" s="110">
        <f>(ET:ET*EU:EU)^ES$3</f>
        <v>1.9655669683205665</v>
      </c>
      <c r="ET35" s="110">
        <f t="shared" si="428"/>
        <v>3.7988605032638993</v>
      </c>
      <c r="EU35" s="110">
        <f t="shared" si="429"/>
        <v>1.0170032575909294</v>
      </c>
      <c r="EV35" s="110">
        <f t="shared" si="430"/>
        <v>1.9111244003334622</v>
      </c>
      <c r="EW35" s="110">
        <f>IF(SeilBeregnet=0,"-",EW$7*(EY:EY+EW$6)*FB:FB*PropF+ErfaringsF+Dyp_F)</f>
        <v>1.0896251647078703</v>
      </c>
      <c r="EX35" s="144" t="str">
        <f t="shared" si="449"/>
        <v>-</v>
      </c>
      <c r="EY35" s="110">
        <f>(EZ:EZ*FA:FA)^EY$3</f>
        <v>3.9291448021222029</v>
      </c>
      <c r="EZ35" s="136">
        <f t="shared" si="431"/>
        <v>3.7988605032638993</v>
      </c>
      <c r="FA35" s="136">
        <f t="shared" si="432"/>
        <v>1.0342956259505622</v>
      </c>
      <c r="FB35" s="110">
        <f t="shared" si="433"/>
        <v>1.0747042278871302</v>
      </c>
      <c r="FC35" s="110">
        <f>IF(SeilBeregnet=0,"-",FC$7*(FE:FE+FC$6)*FI:FI*PropF+ErfaringsF+Dyp_F)</f>
        <v>1.099915017137622</v>
      </c>
      <c r="FD35" s="144" t="str">
        <f t="shared" si="450"/>
        <v>-</v>
      </c>
      <c r="FE35" s="110">
        <f>(FF:FF+FG:FG+FH:FH)^FE$3+FE$7</f>
        <v>6.0752655693661843</v>
      </c>
      <c r="FF35" s="136">
        <f t="shared" si="434"/>
        <v>3.7988605032638993</v>
      </c>
      <c r="FG35" s="136">
        <f t="shared" si="435"/>
        <v>0.91180210942584761</v>
      </c>
      <c r="FH35" s="136">
        <f t="shared" si="436"/>
        <v>1.8646029566764373</v>
      </c>
      <c r="FI35" s="110">
        <f t="shared" si="437"/>
        <v>1.8859172433475835</v>
      </c>
      <c r="FJ35" s="110">
        <f>IF(SeilBeregnet=0,"-",FJ$7*(FL:FL+FJ$6)*FO:FO*PropF+ErfaringsF+Dyp_F)</f>
        <v>1.0869202264156621</v>
      </c>
      <c r="FK35" s="144" t="str">
        <f t="shared" si="451"/>
        <v>-</v>
      </c>
      <c r="FL35" s="110">
        <f>(FM:FM*FN:FN)^FL$3</f>
        <v>7.0833665263872057</v>
      </c>
      <c r="FM35" s="136">
        <f t="shared" si="438"/>
        <v>3.7988605032638993</v>
      </c>
      <c r="FN35" s="136">
        <f t="shared" si="439"/>
        <v>1.8646029566764373</v>
      </c>
      <c r="FO35" s="110">
        <f t="shared" si="440"/>
        <v>1.8859172433475835</v>
      </c>
      <c r="FQ35">
        <v>0.95</v>
      </c>
      <c r="FR35" s="64">
        <f t="shared" si="452"/>
        <v>1.2915911626523122</v>
      </c>
      <c r="FS35" s="479"/>
      <c r="FT35" s="18"/>
      <c r="FU35" s="481"/>
      <c r="FV35" s="504"/>
      <c r="FW35" s="18"/>
      <c r="FX35" s="18"/>
      <c r="FY35" s="18"/>
      <c r="FZ35" s="18"/>
      <c r="GB35" s="18"/>
      <c r="GC35" s="481"/>
      <c r="GD35" s="8"/>
      <c r="GE35" s="8"/>
      <c r="GF35" s="8"/>
      <c r="GG35" s="8"/>
      <c r="GI35" s="18"/>
      <c r="GJ35" s="18"/>
      <c r="GK35" s="18"/>
      <c r="GL35" s="18"/>
      <c r="GM35" s="18"/>
      <c r="GN35" s="18"/>
      <c r="GO35" s="18"/>
      <c r="GP35" s="18"/>
    </row>
    <row r="36" spans="1:198" ht="15.6" x14ac:dyDescent="0.3">
      <c r="A36" s="62" t="s">
        <v>158</v>
      </c>
      <c r="B36" s="223"/>
      <c r="C36" s="63" t="str">
        <f>C31</f>
        <v>Gaffel</v>
      </c>
      <c r="D36" s="63"/>
      <c r="E36" s="63"/>
      <c r="F36" s="63"/>
      <c r="G36" s="56"/>
      <c r="H36" s="209">
        <f>TBFavrundet</f>
        <v>103</v>
      </c>
      <c r="I36" s="65">
        <f>COUNTA(O36:AD36)</f>
        <v>4</v>
      </c>
      <c r="J36" s="228">
        <f>SUM(O36:AD36)</f>
        <v>138.20000000000002</v>
      </c>
      <c r="K36" s="119">
        <f>Seilareal/Depl^0.667/K$7</f>
        <v>1.3688535830423254</v>
      </c>
      <c r="L36" s="119">
        <f>Seilareal/Lwl/Lwl/L$7</f>
        <v>1.31040024557908</v>
      </c>
      <c r="M36" s="95">
        <f>RiggF</f>
        <v>0.82590448625180901</v>
      </c>
      <c r="N36" s="265">
        <f>StHfaktor</f>
        <v>0.99394434046182945</v>
      </c>
      <c r="O36" s="147"/>
      <c r="P36" s="169">
        <v>59.4</v>
      </c>
      <c r="Q36" s="147"/>
      <c r="R36" s="147"/>
      <c r="S36" s="147"/>
      <c r="T36" s="147"/>
      <c r="U36" s="169">
        <v>47.5</v>
      </c>
      <c r="V36" s="148"/>
      <c r="W36" s="148"/>
      <c r="X36" s="169">
        <v>10.9</v>
      </c>
      <c r="Y36" s="169">
        <v>20.399999999999999</v>
      </c>
      <c r="Z36" s="147"/>
      <c r="AA36" s="147"/>
      <c r="AB36" s="147"/>
      <c r="AC36" s="147"/>
      <c r="AD36" s="147"/>
      <c r="AE36" s="260">
        <f t="shared" ref="AE36" si="483">AE35</f>
        <v>12.05</v>
      </c>
      <c r="AF36" s="375">
        <f t="shared" si="459"/>
        <v>0</v>
      </c>
      <c r="AG36" s="377"/>
      <c r="AH36" s="375">
        <f t="shared" si="459"/>
        <v>0</v>
      </c>
      <c r="AI36" s="377"/>
      <c r="AJ36" s="295" t="str">
        <f t="shared" ref="AJ36" si="484" xml:space="preserve"> AJ35</f>
        <v>Lystb</v>
      </c>
      <c r="AK36" s="47">
        <f>VLOOKUP(AJ36,Skrogform!$1:$1048576,3,FALSE)</f>
        <v>0.98</v>
      </c>
      <c r="AL36" s="66">
        <f t="shared" ref="AL36:AT36" si="485">AL35</f>
        <v>14.95</v>
      </c>
      <c r="AM36" s="66">
        <f t="shared" si="485"/>
        <v>12.65</v>
      </c>
      <c r="AN36" s="66">
        <f t="shared" si="485"/>
        <v>4.3</v>
      </c>
      <c r="AO36" s="66">
        <f t="shared" si="485"/>
        <v>2.5</v>
      </c>
      <c r="AP36" s="66">
        <f t="shared" si="485"/>
        <v>28</v>
      </c>
      <c r="AQ36" s="66">
        <f t="shared" si="485"/>
        <v>8</v>
      </c>
      <c r="AR36" s="66">
        <f t="shared" si="485"/>
        <v>0.5</v>
      </c>
      <c r="AS36" s="284">
        <f t="shared" si="485"/>
        <v>120</v>
      </c>
      <c r="AT36" s="284">
        <f t="shared" si="485"/>
        <v>900</v>
      </c>
      <c r="AU36" s="284">
        <f t="shared" ref="AU36:AV36" si="486">AU35</f>
        <v>650</v>
      </c>
      <c r="AV36" s="284">
        <f t="shared" si="486"/>
        <v>350</v>
      </c>
      <c r="AW36" s="284"/>
      <c r="AX36" s="284">
        <f>AX35</f>
        <v>400</v>
      </c>
      <c r="AY36" s="68"/>
      <c r="AZ36" s="68"/>
      <c r="BA36" s="289"/>
      <c r="BB36" s="68"/>
      <c r="BC36" s="179"/>
      <c r="BD36" s="68"/>
      <c r="BE36" s="68"/>
      <c r="BF36" s="67" t="str">
        <f t="shared" ref="BF36:BH36" si="487" xml:space="preserve"> BF35</f>
        <v>Seilrett</v>
      </c>
      <c r="BG36" s="295">
        <f t="shared" si="487"/>
        <v>3</v>
      </c>
      <c r="BH36" s="295">
        <f t="shared" si="487"/>
        <v>60</v>
      </c>
      <c r="BI36" s="47">
        <f t="shared" si="464"/>
        <v>1</v>
      </c>
      <c r="BJ36" s="61"/>
      <c r="BK36" s="61"/>
      <c r="BM36" s="51">
        <f t="shared" si="465"/>
        <v>0</v>
      </c>
      <c r="BN36" s="51">
        <f t="shared" si="465"/>
        <v>59.4</v>
      </c>
      <c r="BO36" s="51">
        <f t="shared" si="465"/>
        <v>0</v>
      </c>
      <c r="BP36" s="51">
        <f t="shared" si="465"/>
        <v>0</v>
      </c>
      <c r="BQ36" s="51">
        <f t="shared" si="465"/>
        <v>0</v>
      </c>
      <c r="BR36" s="51">
        <f t="shared" si="465"/>
        <v>0</v>
      </c>
      <c r="BS36" s="52">
        <f>IF(COUNT(P36:T36)&gt;1,MINA(P36:T36)*BS$9,0)</f>
        <v>0</v>
      </c>
      <c r="BT36" s="88">
        <f t="shared" si="466"/>
        <v>38</v>
      </c>
      <c r="BU36" s="88">
        <f t="shared" si="466"/>
        <v>0</v>
      </c>
      <c r="BV36" s="88">
        <f t="shared" si="466"/>
        <v>0</v>
      </c>
      <c r="BW36" s="88">
        <f t="shared" si="466"/>
        <v>6.54</v>
      </c>
      <c r="BX36" s="88">
        <f t="shared" si="466"/>
        <v>10.199999999999999</v>
      </c>
      <c r="BY36" s="88">
        <f t="shared" si="466"/>
        <v>0</v>
      </c>
      <c r="BZ36" s="88">
        <f t="shared" si="466"/>
        <v>0</v>
      </c>
      <c r="CA36" s="88">
        <f t="shared" si="466"/>
        <v>0</v>
      </c>
      <c r="CB36" s="88">
        <f t="shared" si="466"/>
        <v>0</v>
      </c>
      <c r="CC36" s="88">
        <f t="shared" si="466"/>
        <v>0</v>
      </c>
      <c r="CD36" s="103">
        <f>SUM(BM36:CC36)</f>
        <v>114.14000000000001</v>
      </c>
      <c r="CE36" s="52"/>
      <c r="CF36" s="107">
        <f>J36</f>
        <v>138.20000000000002</v>
      </c>
      <c r="CG36" s="104">
        <f>CD36/CF36</f>
        <v>0.82590448625180901</v>
      </c>
      <c r="CH36" s="53">
        <f>Seilareal/Lwl/Lwl</f>
        <v>0.86362855223484203</v>
      </c>
      <c r="CI36" s="119">
        <f>Seilareal/Depl^0.667/K$7</f>
        <v>1.3688535830423254</v>
      </c>
      <c r="CJ36" s="53">
        <f>Seilareal/Lwl/Lwl/SApRS1</f>
        <v>1.31040024557908</v>
      </c>
      <c r="CK36" s="209"/>
      <c r="CL36" s="209">
        <f>(ROUND(TBF/CL$6,3)*CL$6)*CL$4</f>
        <v>103</v>
      </c>
      <c r="CM36" s="110">
        <f t="shared" si="234"/>
        <v>1.0318150975405276</v>
      </c>
      <c r="CN36" s="64">
        <f>IF(SeilBeregnet=0,"-",(SeilBeregnet)^(1/2)*StHfaktor/(Depl+DeplTillegg/1000+Vann/1000+Diesel/1000*0.84)^(1/3))</f>
        <v>3.4506264464726741</v>
      </c>
      <c r="CO36" s="64">
        <f t="shared" si="203"/>
        <v>1.7914525741926286</v>
      </c>
      <c r="CP36" s="64">
        <f t="shared" si="204"/>
        <v>1.8859172433475835</v>
      </c>
      <c r="CQ36" s="110">
        <f t="shared" si="205"/>
        <v>0.99394434046182945</v>
      </c>
      <c r="CR36" s="172" t="str">
        <f t="shared" si="390"/>
        <v>-</v>
      </c>
      <c r="CS36" s="163"/>
      <c r="CT36" s="172" t="str">
        <f t="shared" si="391"/>
        <v>-</v>
      </c>
      <c r="CU36" s="163"/>
      <c r="CV36" s="195" t="s">
        <v>145</v>
      </c>
      <c r="CW36" s="64">
        <v>1.01</v>
      </c>
      <c r="CX36" s="64">
        <v>0.95</v>
      </c>
      <c r="CY36" s="64">
        <v>1</v>
      </c>
      <c r="CZ36" s="154">
        <v>1.04</v>
      </c>
      <c r="DA36" s="64">
        <f t="shared" si="392"/>
        <v>2.1194274884384119</v>
      </c>
      <c r="DB36" s="49">
        <f t="shared" si="393"/>
        <v>13.92757660167131</v>
      </c>
      <c r="DC36" s="50">
        <f t="shared" si="394"/>
        <v>0</v>
      </c>
      <c r="DE36" s="110">
        <f>IF(SeilBeregnet=0,"-",DE$7*(DG:DG+DE$6)*DL:DL*PropF+ErfaringsF+Dyp_F)</f>
        <v>1.0253971862964424</v>
      </c>
      <c r="DF36" s="144" t="str">
        <f t="shared" si="446"/>
        <v>-</v>
      </c>
      <c r="DG36" s="110">
        <f t="shared" si="395"/>
        <v>5.3832942165864397</v>
      </c>
      <c r="DH36" s="136">
        <f t="shared" si="409"/>
        <v>3.5186912599100024</v>
      </c>
      <c r="DI36" s="136">
        <f t="shared" si="410"/>
        <v>0</v>
      </c>
      <c r="DJ36" s="136">
        <f t="shared" si="411"/>
        <v>0</v>
      </c>
      <c r="DK36" s="136">
        <f t="shared" si="412"/>
        <v>1.8646029566764373</v>
      </c>
      <c r="DL36" s="110">
        <f t="shared" si="413"/>
        <v>1.8859172433475835</v>
      </c>
      <c r="DM36" s="136">
        <f t="shared" si="414"/>
        <v>2.0446520502738266</v>
      </c>
      <c r="DO36" s="110">
        <f t="shared" si="258"/>
        <v>1.0528725485107422</v>
      </c>
      <c r="DP36" s="110">
        <f t="shared" si="396"/>
        <v>1.0425198257282589</v>
      </c>
      <c r="DQ36" s="125"/>
      <c r="DR36" s="110">
        <f t="shared" si="397"/>
        <v>1.0248826641371773</v>
      </c>
      <c r="DS36" s="125" t="str">
        <f t="shared" si="447"/>
        <v>-</v>
      </c>
      <c r="DT36" s="110">
        <f t="shared" si="398"/>
        <v>1.0432406139838322</v>
      </c>
      <c r="DU36" s="125" t="str">
        <f t="shared" si="448"/>
        <v>-</v>
      </c>
      <c r="DV36" s="110">
        <f t="shared" si="415"/>
        <v>3.5183395275243732</v>
      </c>
      <c r="DW36" s="110">
        <f t="shared" si="416"/>
        <v>2.3298436208665341</v>
      </c>
      <c r="DX36" s="110">
        <f t="shared" si="417"/>
        <v>1.5916961163398649</v>
      </c>
      <c r="DZ36" s="110">
        <f t="shared" si="399"/>
        <v>1.0338851674425698</v>
      </c>
      <c r="EB36" s="110">
        <f t="shared" si="418"/>
        <v>3.5183395275243732</v>
      </c>
      <c r="EC36" s="110">
        <f t="shared" si="419"/>
        <v>2.3300209979525235</v>
      </c>
      <c r="ED36" s="110">
        <f t="shared" si="420"/>
        <v>1.8583176886572534</v>
      </c>
      <c r="EE36" s="110">
        <f t="shared" si="400"/>
        <v>1.0318978855801817</v>
      </c>
      <c r="EG36" s="110">
        <f t="shared" si="421"/>
        <v>5.6001273619255798</v>
      </c>
      <c r="EH36" s="110">
        <f t="shared" si="422"/>
        <v>3.5183395275243732</v>
      </c>
      <c r="EI36" s="110">
        <f t="shared" si="423"/>
        <v>1.5916961163398649</v>
      </c>
      <c r="EJ36" s="110">
        <f t="shared" si="424"/>
        <v>1.8859172433475835</v>
      </c>
      <c r="EK36" s="110">
        <f>IF(SeilBeregnet=0,"-",EK$7*(EK$4*EM:EM+EK$6)*EP:EP*PropF+ErfaringsF+Dyp_F)</f>
        <v>1.0325968010222364</v>
      </c>
      <c r="EM36" s="110">
        <f>IF(SeilBeregnet=0,EM35,(EN:EN*EO:EO)^EM$3)</f>
        <v>1.8916032249928152</v>
      </c>
      <c r="EN36" s="110">
        <f t="shared" si="425"/>
        <v>3.5183395275243732</v>
      </c>
      <c r="EO36" s="110">
        <f t="shared" si="426"/>
        <v>1.0170032575909294</v>
      </c>
      <c r="EP36" s="110">
        <f t="shared" si="427"/>
        <v>1.9111244003334622</v>
      </c>
      <c r="EQ36" s="110">
        <f>IF(SeilBeregnet=0,"-",EQ$7*(ES:ES+EQ$6)*EV:EV*PropF+ErfaringsF+Dyp_F)</f>
        <v>0.98927873368340991</v>
      </c>
      <c r="ES36" s="110">
        <f>(ET:ET*EU:EU)^ES$3</f>
        <v>1.8916977754877242</v>
      </c>
      <c r="ET36" s="110">
        <f t="shared" si="428"/>
        <v>3.5186912599100024</v>
      </c>
      <c r="EU36" s="110">
        <f t="shared" si="429"/>
        <v>1.0170032575909294</v>
      </c>
      <c r="EV36" s="110">
        <f t="shared" si="430"/>
        <v>1.9111244003334622</v>
      </c>
      <c r="EW36" s="110">
        <f>IF(SeilBeregnet=0,"-",EW$7*(EY:EY+EW$6)*FB:FB*PropF+ErfaringsF+Dyp_F)</f>
        <v>1.0363714125103691</v>
      </c>
      <c r="EX36" s="144" t="str">
        <f t="shared" si="449"/>
        <v>-</v>
      </c>
      <c r="EY36" s="110">
        <f>(EZ:EZ*FA:FA)^EY$3</f>
        <v>3.6393669791953887</v>
      </c>
      <c r="EZ36" s="136">
        <f t="shared" si="431"/>
        <v>3.5186912599100024</v>
      </c>
      <c r="FA36" s="136">
        <f t="shared" si="432"/>
        <v>1.0342956259505622</v>
      </c>
      <c r="FB36" s="110">
        <f t="shared" si="433"/>
        <v>1.0747042278871302</v>
      </c>
      <c r="FC36" s="110">
        <f>IF(SeilBeregnet=0,"-",FC$7*(FE:FE+FC$6)*FI:FI*PropF+ErfaringsF+Dyp_F)</f>
        <v>1.0370161279592189</v>
      </c>
      <c r="FD36" s="144" t="str">
        <f t="shared" si="450"/>
        <v>-</v>
      </c>
      <c r="FE36" s="110">
        <f>(FF:FF+FG:FG+FH:FH)^FE$3+FE$7</f>
        <v>5.7278501328796771</v>
      </c>
      <c r="FF36" s="136">
        <f t="shared" si="434"/>
        <v>3.5186912599100024</v>
      </c>
      <c r="FG36" s="136">
        <f t="shared" si="435"/>
        <v>0.8445559162932379</v>
      </c>
      <c r="FH36" s="136">
        <f t="shared" si="436"/>
        <v>1.8646029566764373</v>
      </c>
      <c r="FI36" s="110">
        <f t="shared" si="437"/>
        <v>1.8859172433475835</v>
      </c>
      <c r="FJ36" s="110">
        <f>IF(SeilBeregnet=0,"-",FJ$7*(FL:FL+FJ$6)*FO:FO*PropF+ErfaringsF+Dyp_F)</f>
        <v>1.0356892302320477</v>
      </c>
      <c r="FK36" s="144" t="str">
        <f t="shared" si="451"/>
        <v>-</v>
      </c>
      <c r="FL36" s="110">
        <f>(FM:FM*FN:FN)^FL$3</f>
        <v>6.5609621268597289</v>
      </c>
      <c r="FM36" s="136">
        <f t="shared" si="438"/>
        <v>3.5186912599100024</v>
      </c>
      <c r="FN36" s="136">
        <f t="shared" si="439"/>
        <v>1.8646029566764373</v>
      </c>
      <c r="FO36" s="110">
        <f t="shared" si="440"/>
        <v>1.8859172433475835</v>
      </c>
      <c r="FQ36">
        <v>0.95</v>
      </c>
      <c r="FR36" s="64">
        <f t="shared" si="452"/>
        <v>1.2446479462821489</v>
      </c>
      <c r="FS36" s="479"/>
      <c r="FT36" s="18"/>
      <c r="FU36" s="481"/>
      <c r="FV36" s="504"/>
      <c r="FW36" s="18"/>
      <c r="FX36" s="18"/>
      <c r="FY36" s="18"/>
      <c r="FZ36" s="18"/>
      <c r="GB36" s="18"/>
      <c r="GC36" s="481"/>
      <c r="GD36" s="8"/>
      <c r="GE36" s="8"/>
      <c r="GF36" s="8"/>
      <c r="GG36" s="8"/>
      <c r="GI36" s="18"/>
      <c r="GJ36" s="18"/>
      <c r="GK36" s="18"/>
      <c r="GL36" s="18"/>
      <c r="GM36" s="18"/>
      <c r="GN36" s="18"/>
      <c r="GO36" s="18"/>
      <c r="GP36" s="18"/>
    </row>
    <row r="37" spans="1:198" ht="22.8" x14ac:dyDescent="0.3">
      <c r="A37" s="54" t="s">
        <v>69</v>
      </c>
      <c r="B37" s="223">
        <f t="shared" ref="B37" si="488">Loa/0.3048</f>
        <v>32.15223097112861</v>
      </c>
      <c r="C37" s="55" t="s">
        <v>22</v>
      </c>
      <c r="D37" s="55"/>
      <c r="E37" s="55"/>
      <c r="F37" s="55"/>
      <c r="G37" s="56"/>
      <c r="H37" s="209"/>
      <c r="I37" s="126" t="str">
        <f>A37</f>
        <v>Karen Sophie II</v>
      </c>
      <c r="J37" s="229"/>
      <c r="K37" s="119"/>
      <c r="L37" s="119"/>
      <c r="M37" s="95"/>
      <c r="N37" s="265"/>
      <c r="O37" s="169"/>
      <c r="P37" s="169"/>
      <c r="Q37" s="169">
        <v>15.4</v>
      </c>
      <c r="R37" s="169"/>
      <c r="S37" s="169"/>
      <c r="T37" s="169">
        <v>11.2</v>
      </c>
      <c r="U37" s="169">
        <v>36.200000000000003</v>
      </c>
      <c r="V37" s="169" t="s">
        <v>203</v>
      </c>
      <c r="W37" s="169"/>
      <c r="X37" s="169"/>
      <c r="Y37" s="169">
        <v>8.6</v>
      </c>
      <c r="Z37" s="169"/>
      <c r="AA37" s="169"/>
      <c r="AB37" s="169"/>
      <c r="AC37" s="169"/>
      <c r="AD37" s="169"/>
      <c r="AE37" s="270">
        <v>9.15</v>
      </c>
      <c r="AF37" s="296"/>
      <c r="AG37" s="377"/>
      <c r="AH37" s="296"/>
      <c r="AI37" s="377"/>
      <c r="AJ37" s="296" t="s">
        <v>229</v>
      </c>
      <c r="AK37" s="47">
        <f>VLOOKUP(AJ37,Skrogform!$1:$1048576,3,FALSE)</f>
        <v>0.97</v>
      </c>
      <c r="AL37" s="57">
        <v>9.8000000000000007</v>
      </c>
      <c r="AM37" s="57">
        <v>8.43</v>
      </c>
      <c r="AN37" s="57">
        <v>3.38</v>
      </c>
      <c r="AO37" s="57">
        <v>1.5</v>
      </c>
      <c r="AP37" s="57">
        <v>9.6</v>
      </c>
      <c r="AQ37" s="57">
        <v>2</v>
      </c>
      <c r="AR37" s="57">
        <v>0.5</v>
      </c>
      <c r="AS37" s="281">
        <v>16</v>
      </c>
      <c r="AT37" s="282">
        <v>300</v>
      </c>
      <c r="AU37" s="281">
        <v>30</v>
      </c>
      <c r="AV37" s="281">
        <v>200</v>
      </c>
      <c r="AW37" s="270">
        <f>Depl+Diesel/1000+Vann/1000</f>
        <v>9.8299999999999983</v>
      </c>
      <c r="AX37" s="281"/>
      <c r="AY37" s="98">
        <f>Bredde/(Loa+Lwl)*2</f>
        <v>0.37081733406472844</v>
      </c>
      <c r="AZ37" s="98">
        <f>(Kjøl+Ballast)/Depl</f>
        <v>0.26041666666666669</v>
      </c>
      <c r="BA37" s="288">
        <f>BA$7*((Depl-Kjøl-Ballast-VektMotor/1000-VektAnnet/1000)/Loa/Lwl/Bredde)</f>
        <v>1.0536701462644338</v>
      </c>
      <c r="BB37" s="98">
        <f>BB$7*(Depl/Loa/Lwl/Lwl)</f>
        <v>1.035090130192067</v>
      </c>
      <c r="BC37" s="178">
        <f>BC$7*(Depl/Loa/Lwl/Bredde)</f>
        <v>0.95424820929398435</v>
      </c>
      <c r="BD37" s="98">
        <f>BD$7*Bredde/(Loa+Lwl)*2</f>
        <v>1.0578262228749726</v>
      </c>
      <c r="BE37" s="98">
        <f>BE$7*(Dypg/Lwl)</f>
        <v>0.97323224508742079</v>
      </c>
      <c r="BF37" s="58" t="s">
        <v>42</v>
      </c>
      <c r="BG37" s="296">
        <v>2</v>
      </c>
      <c r="BH37" s="296">
        <v>59</v>
      </c>
      <c r="BI37" s="47">
        <f t="shared" si="464"/>
        <v>0.98106311768326038</v>
      </c>
      <c r="BJ37" s="61"/>
      <c r="BK37" s="61"/>
      <c r="BM37" s="214"/>
      <c r="BN37" s="214" t="str">
        <f>$A37</f>
        <v>Karen Sophie II</v>
      </c>
      <c r="BO37" s="10"/>
      <c r="BP37" s="10"/>
      <c r="BQ37" s="10"/>
      <c r="BR37" s="10"/>
      <c r="BS37" s="52"/>
      <c r="BT37" s="214" t="str">
        <f>$A37</f>
        <v>Karen Sophie II</v>
      </c>
      <c r="BU37" s="10"/>
      <c r="BV37" s="10"/>
      <c r="BW37" s="10"/>
      <c r="BX37" s="10"/>
      <c r="BY37" s="10"/>
      <c r="BZ37" s="10"/>
      <c r="CA37" s="10"/>
      <c r="CB37" s="10"/>
      <c r="CC37" s="10"/>
      <c r="CD37" s="214"/>
      <c r="CE37" s="10"/>
      <c r="CF37" s="214" t="str">
        <f>$A37</f>
        <v>Karen Sophie II</v>
      </c>
      <c r="CG37" s="212"/>
      <c r="CH37" s="212"/>
      <c r="CI37" s="119"/>
      <c r="CJ37" s="212"/>
      <c r="CK37" s="208"/>
      <c r="CL37" s="208" t="s">
        <v>26</v>
      </c>
      <c r="CM37" s="110" t="str">
        <f t="shared" si="234"/>
        <v>-</v>
      </c>
      <c r="CN37" s="64" t="str">
        <f>IF(SeilBeregnet=0,"-",(SeilBeregnet)^(1/2)*StHfaktor/(Depl+DeplTillegg/1000+Vann/1000+Diesel/1000*0.84)^(1/3))</f>
        <v>-</v>
      </c>
      <c r="CO37" s="64" t="str">
        <f t="shared" si="203"/>
        <v>-</v>
      </c>
      <c r="CP37" s="64" t="str">
        <f t="shared" si="204"/>
        <v>-</v>
      </c>
      <c r="CQ37" s="110" t="str">
        <f t="shared" si="205"/>
        <v>-</v>
      </c>
      <c r="CR37" s="172" t="str">
        <f t="shared" si="390"/>
        <v>-</v>
      </c>
      <c r="CS37" s="162"/>
      <c r="CT37" s="172" t="str">
        <f t="shared" si="391"/>
        <v>-</v>
      </c>
      <c r="CU37" s="164">
        <v>1.1399999999999999</v>
      </c>
      <c r="CV37" s="195" t="s">
        <v>145</v>
      </c>
      <c r="CW37" s="30" t="s">
        <v>26</v>
      </c>
      <c r="CX37" s="30" t="s">
        <v>26</v>
      </c>
      <c r="CY37" s="30" t="s">
        <v>26</v>
      </c>
      <c r="CZ37" s="153">
        <v>2022</v>
      </c>
      <c r="DA37" s="64" t="str">
        <f t="shared" si="392"/>
        <v>-</v>
      </c>
      <c r="DB37" s="49">
        <f t="shared" si="393"/>
        <v>11.7096018735363</v>
      </c>
      <c r="DC37" s="50">
        <f t="shared" si="394"/>
        <v>0</v>
      </c>
      <c r="DE37" s="110" t="str">
        <f>IF(SeilBeregnet=0,"-",DE$7*(DG:DG+DE$6)*DL:DL*PropF+ErfaringsF+Dyp_F)</f>
        <v>-</v>
      </c>
      <c r="DF37" s="144" t="str">
        <f t="shared" si="446"/>
        <v>-</v>
      </c>
      <c r="DG37" s="110">
        <f t="shared" si="395"/>
        <v>5.3832942165864397</v>
      </c>
      <c r="DH37" s="136">
        <f t="shared" si="409"/>
        <v>3.5186912599100024</v>
      </c>
      <c r="DI37" s="136">
        <f t="shared" si="410"/>
        <v>0</v>
      </c>
      <c r="DJ37" s="136">
        <f t="shared" si="411"/>
        <v>0</v>
      </c>
      <c r="DK37" s="136">
        <f t="shared" si="412"/>
        <v>1.8646029566764373</v>
      </c>
      <c r="DL37" s="110">
        <f t="shared" si="413"/>
        <v>1.8859172433475835</v>
      </c>
      <c r="DM37" s="136">
        <f t="shared" si="414"/>
        <v>2.0446520502738266</v>
      </c>
      <c r="DO37" s="110" t="str">
        <f t="shared" si="467"/>
        <v>-</v>
      </c>
      <c r="DP37" s="110" t="str">
        <f t="shared" si="396"/>
        <v>-</v>
      </c>
      <c r="DR37" s="110" t="str">
        <f t="shared" si="397"/>
        <v>-</v>
      </c>
      <c r="DS37" s="125" t="str">
        <f t="shared" si="447"/>
        <v>-</v>
      </c>
      <c r="DT37" s="110" t="str">
        <f t="shared" si="398"/>
        <v>-</v>
      </c>
      <c r="DU37" s="125" t="str">
        <f t="shared" si="448"/>
        <v>-</v>
      </c>
      <c r="DV37" s="110">
        <f t="shared" si="415"/>
        <v>3.5183395275243732</v>
      </c>
      <c r="DW37" s="110">
        <f t="shared" si="416"/>
        <v>2.3298436208665341</v>
      </c>
      <c r="DX37" s="110">
        <f t="shared" si="417"/>
        <v>1.5916961163398649</v>
      </c>
      <c r="DZ37" s="110" t="str">
        <f t="shared" si="399"/>
        <v>-</v>
      </c>
      <c r="EB37" s="110">
        <f t="shared" si="418"/>
        <v>3.5183395275243732</v>
      </c>
      <c r="EC37" s="110">
        <f t="shared" si="419"/>
        <v>2.3300209979525235</v>
      </c>
      <c r="ED37" s="110">
        <f t="shared" si="420"/>
        <v>1.8583176886572534</v>
      </c>
      <c r="EE37" s="110" t="str">
        <f t="shared" si="400"/>
        <v>-</v>
      </c>
      <c r="EG37" s="110">
        <f t="shared" si="421"/>
        <v>5.6001273619255798</v>
      </c>
      <c r="EH37" s="110">
        <f t="shared" si="422"/>
        <v>3.5183395275243732</v>
      </c>
      <c r="EI37" s="110">
        <f t="shared" si="423"/>
        <v>1.5916961163398649</v>
      </c>
      <c r="EJ37" s="110">
        <f t="shared" si="424"/>
        <v>1.8859172433475835</v>
      </c>
      <c r="EK37" s="110" t="str">
        <f>IF(SeilBeregnet=0,"-",EK$7*(EK$4*EM:EM+EK$6)*EP:EP*PropF+ErfaringsF+Dyp_F)</f>
        <v>-</v>
      </c>
      <c r="EM37" s="110">
        <f>IF(SeilBeregnet=0,EM36,(EN:EN*EO:EO)^EM$3)</f>
        <v>1.8916032249928152</v>
      </c>
      <c r="EN37" s="110">
        <f t="shared" si="425"/>
        <v>3.5183395275243732</v>
      </c>
      <c r="EO37" s="110">
        <f t="shared" si="426"/>
        <v>1.0170032575909294</v>
      </c>
      <c r="EP37" s="110">
        <f t="shared" si="427"/>
        <v>1.9111244003334622</v>
      </c>
      <c r="EQ37" s="110" t="str">
        <f>IF(SeilBeregnet=0,"-",EQ$7*(ES:ES+EQ$6)*EV:EV*PropF+ErfaringsF+Dyp_F)</f>
        <v>-</v>
      </c>
      <c r="ES37" s="110">
        <f>(ET:ET*EU:EU)^ES$3</f>
        <v>1.8916977754877242</v>
      </c>
      <c r="ET37" s="110">
        <f t="shared" si="428"/>
        <v>3.5186912599100024</v>
      </c>
      <c r="EU37" s="110">
        <f t="shared" si="429"/>
        <v>1.0170032575909294</v>
      </c>
      <c r="EV37" s="110">
        <f t="shared" si="430"/>
        <v>1.9111244003334622</v>
      </c>
      <c r="EW37" s="110" t="str">
        <f>IF(SeilBeregnet=0,"-",EW$7*(EY:EY+EW$6)*FB:FB*PropF+ErfaringsF+Dyp_F)</f>
        <v>-</v>
      </c>
      <c r="EX37" s="144" t="str">
        <f t="shared" si="449"/>
        <v>-</v>
      </c>
      <c r="EY37" s="110">
        <f>(EZ:EZ*FA:FA)^EY$3</f>
        <v>3.6393669791953887</v>
      </c>
      <c r="EZ37" s="136">
        <f t="shared" si="431"/>
        <v>3.5186912599100024</v>
      </c>
      <c r="FA37" s="136">
        <f t="shared" si="432"/>
        <v>1.0342956259505622</v>
      </c>
      <c r="FB37" s="110">
        <f t="shared" si="433"/>
        <v>1.0747042278871302</v>
      </c>
      <c r="FC37" s="110" t="str">
        <f>IF(SeilBeregnet=0,"-",FC$7*(FE:FE+FC$6)*FI:FI*PropF+ErfaringsF+Dyp_F)</f>
        <v>-</v>
      </c>
      <c r="FD37" s="144" t="str">
        <f t="shared" si="450"/>
        <v>-</v>
      </c>
      <c r="FE37" s="110">
        <f>(FF:FF+FG:FG+FH:FH)^FE$3+FE$7</f>
        <v>5.7278501328796771</v>
      </c>
      <c r="FF37" s="136">
        <f t="shared" si="434"/>
        <v>3.5186912599100024</v>
      </c>
      <c r="FG37" s="136">
        <f t="shared" si="435"/>
        <v>0.8445559162932379</v>
      </c>
      <c r="FH37" s="136">
        <f t="shared" si="436"/>
        <v>1.8646029566764373</v>
      </c>
      <c r="FI37" s="110">
        <f t="shared" si="437"/>
        <v>1.8859172433475835</v>
      </c>
      <c r="FJ37" s="110" t="str">
        <f>IF(SeilBeregnet=0,"-",FJ$7*(FL:FL+FJ$6)*FO:FO*PropF+ErfaringsF+Dyp_F)</f>
        <v>-</v>
      </c>
      <c r="FK37" s="144" t="str">
        <f t="shared" si="451"/>
        <v>-</v>
      </c>
      <c r="FL37" s="110">
        <f>(FM:FM*FN:FN)^FL$3</f>
        <v>6.5609621268597289</v>
      </c>
      <c r="FM37" s="136">
        <f t="shared" si="438"/>
        <v>3.5186912599100024</v>
      </c>
      <c r="FN37" s="136">
        <f t="shared" si="439"/>
        <v>1.8646029566764373</v>
      </c>
      <c r="FO37" s="110">
        <f t="shared" si="440"/>
        <v>1.8859172433475835</v>
      </c>
      <c r="FQ37">
        <v>0.95</v>
      </c>
      <c r="FR37" s="64" t="str">
        <f t="shared" si="452"/>
        <v>-</v>
      </c>
      <c r="FS37" s="480" t="s">
        <v>492</v>
      </c>
      <c r="FT37" s="59" t="s">
        <v>556</v>
      </c>
      <c r="FU37" s="475" t="s">
        <v>559</v>
      </c>
      <c r="FV37" s="506" t="s">
        <v>560</v>
      </c>
      <c r="FW37" s="475" t="s">
        <v>557</v>
      </c>
      <c r="FX37" s="59" t="s">
        <v>558</v>
      </c>
      <c r="FY37" s="59" t="s">
        <v>455</v>
      </c>
      <c r="FZ37" s="59" t="s">
        <v>568</v>
      </c>
      <c r="GB37" s="59" t="s">
        <v>561</v>
      </c>
      <c r="GC37" s="475" t="s">
        <v>522</v>
      </c>
      <c r="GD37" s="60" t="s">
        <v>522</v>
      </c>
      <c r="GE37" s="60" t="s">
        <v>522</v>
      </c>
      <c r="GF37" s="60" t="s">
        <v>522</v>
      </c>
      <c r="GG37" s="60" t="s">
        <v>522</v>
      </c>
      <c r="GI37" s="59" t="s">
        <v>514</v>
      </c>
      <c r="GJ37" s="59" t="s">
        <v>562</v>
      </c>
      <c r="GK37" s="59" t="s">
        <v>638</v>
      </c>
      <c r="GL37" s="59" t="s">
        <v>563</v>
      </c>
      <c r="GM37" s="59">
        <v>1989</v>
      </c>
      <c r="GN37" s="59" t="s">
        <v>470</v>
      </c>
      <c r="GO37" s="59" t="s">
        <v>477</v>
      </c>
      <c r="GP37" s="59" t="s">
        <v>522</v>
      </c>
    </row>
    <row r="38" spans="1:198" ht="15.6" x14ac:dyDescent="0.3">
      <c r="A38" s="62" t="s">
        <v>31</v>
      </c>
      <c r="B38" s="223"/>
      <c r="C38" s="63" t="str">
        <f>C37</f>
        <v>Gaffel</v>
      </c>
      <c r="D38" s="63"/>
      <c r="E38" s="63"/>
      <c r="F38" s="63"/>
      <c r="G38" s="56"/>
      <c r="H38" s="209">
        <f>TBFavrundet</f>
        <v>88.999999999999986</v>
      </c>
      <c r="I38" s="65">
        <f>COUNTA(O38:AD38)</f>
        <v>4</v>
      </c>
      <c r="J38" s="228">
        <f>SUM(O38:AD38)</f>
        <v>71.400000000000006</v>
      </c>
      <c r="K38" s="119">
        <f>Seilareal/Depl^0.667/K$7</f>
        <v>1.4441977375320922</v>
      </c>
      <c r="L38" s="119">
        <f>Seilareal/Lwl/Lwl/L$7</f>
        <v>1.5244740508064372</v>
      </c>
      <c r="M38" s="95">
        <f>RiggF</f>
        <v>0.79131652661064422</v>
      </c>
      <c r="N38" s="265">
        <f>StHfaktor</f>
        <v>1.0102972943774455</v>
      </c>
      <c r="O38" s="147"/>
      <c r="P38" s="147"/>
      <c r="Q38" s="147">
        <v>15.4</v>
      </c>
      <c r="R38" s="147"/>
      <c r="S38" s="147"/>
      <c r="T38" s="169">
        <v>11.2</v>
      </c>
      <c r="U38" s="169">
        <v>36.200000000000003</v>
      </c>
      <c r="V38" s="148"/>
      <c r="W38" s="148"/>
      <c r="X38" s="148"/>
      <c r="Y38" s="169">
        <v>8.6</v>
      </c>
      <c r="Z38" s="147"/>
      <c r="AA38" s="147"/>
      <c r="AB38" s="147"/>
      <c r="AC38" s="147"/>
      <c r="AD38" s="147"/>
      <c r="AE38" s="260">
        <f>AE37</f>
        <v>9.15</v>
      </c>
      <c r="AF38" s="375">
        <f t="shared" ref="AF38:AH40" si="489" xml:space="preserve"> AF37</f>
        <v>0</v>
      </c>
      <c r="AG38" s="377"/>
      <c r="AH38" s="375">
        <f t="shared" si="489"/>
        <v>0</v>
      </c>
      <c r="AI38" s="377"/>
      <c r="AJ38" s="295" t="str">
        <f t="shared" ref="AJ38" si="490" xml:space="preserve"> AJ37</f>
        <v>Los</v>
      </c>
      <c r="AK38" s="47">
        <f>VLOOKUP(AJ38,Skrogform!$1:$1048576,3,FALSE)</f>
        <v>0.97</v>
      </c>
      <c r="AL38" s="66">
        <f>AL37</f>
        <v>9.8000000000000007</v>
      </c>
      <c r="AM38" s="66">
        <f t="shared" ref="AM38:AT38" si="491">AM37</f>
        <v>8.43</v>
      </c>
      <c r="AN38" s="66">
        <f t="shared" si="491"/>
        <v>3.38</v>
      </c>
      <c r="AO38" s="66">
        <f t="shared" si="491"/>
        <v>1.5</v>
      </c>
      <c r="AP38" s="66">
        <f t="shared" si="491"/>
        <v>9.6</v>
      </c>
      <c r="AQ38" s="66">
        <f t="shared" si="491"/>
        <v>2</v>
      </c>
      <c r="AR38" s="66">
        <f t="shared" si="491"/>
        <v>0.5</v>
      </c>
      <c r="AS38" s="284">
        <f t="shared" si="491"/>
        <v>16</v>
      </c>
      <c r="AT38" s="284">
        <f t="shared" si="491"/>
        <v>300</v>
      </c>
      <c r="AU38" s="284">
        <f t="shared" ref="AU38:AV38" si="492">AU37</f>
        <v>30</v>
      </c>
      <c r="AV38" s="284">
        <f t="shared" si="492"/>
        <v>200</v>
      </c>
      <c r="AW38" s="284"/>
      <c r="AX38" s="284">
        <f>AX37</f>
        <v>0</v>
      </c>
      <c r="AY38" s="68"/>
      <c r="AZ38" s="68"/>
      <c r="BA38" s="289"/>
      <c r="BB38" s="68"/>
      <c r="BC38" s="179"/>
      <c r="BD38" s="68"/>
      <c r="BE38" s="68"/>
      <c r="BF38" s="67" t="str">
        <f t="shared" ref="BF38:BH38" si="493" xml:space="preserve"> BF37</f>
        <v>Fast</v>
      </c>
      <c r="BG38" s="295">
        <f t="shared" si="493"/>
        <v>2</v>
      </c>
      <c r="BH38" s="295">
        <f t="shared" si="493"/>
        <v>59</v>
      </c>
      <c r="BI38" s="47">
        <f t="shared" si="464"/>
        <v>0.98106311768326038</v>
      </c>
      <c r="BJ38" s="61"/>
      <c r="BK38" s="61"/>
      <c r="BM38" s="51">
        <f t="shared" ref="BM38:BR40" si="494">IF(O38=0,0,O38*BM$9)</f>
        <v>0</v>
      </c>
      <c r="BN38" s="51">
        <f t="shared" si="494"/>
        <v>0</v>
      </c>
      <c r="BO38" s="51">
        <f t="shared" si="494"/>
        <v>15.4</v>
      </c>
      <c r="BP38" s="51">
        <f t="shared" si="494"/>
        <v>0</v>
      </c>
      <c r="BQ38" s="51">
        <f t="shared" si="494"/>
        <v>0</v>
      </c>
      <c r="BR38" s="51">
        <f t="shared" si="494"/>
        <v>11.2</v>
      </c>
      <c r="BS38" s="52">
        <f>IF(COUNT(P38:T38)&gt;1,MINA(P38:T38)*BS$9,0)</f>
        <v>-3.36</v>
      </c>
      <c r="BT38" s="88">
        <f t="shared" ref="BT38:CC40" si="495">IF(U38=0,0,U38*BT$9)</f>
        <v>28.960000000000004</v>
      </c>
      <c r="BU38" s="88">
        <f t="shared" si="495"/>
        <v>0</v>
      </c>
      <c r="BV38" s="88">
        <f t="shared" si="495"/>
        <v>0</v>
      </c>
      <c r="BW38" s="88">
        <f t="shared" si="495"/>
        <v>0</v>
      </c>
      <c r="BX38" s="88">
        <f t="shared" si="495"/>
        <v>4.3</v>
      </c>
      <c r="BY38" s="88">
        <f t="shared" si="495"/>
        <v>0</v>
      </c>
      <c r="BZ38" s="88">
        <f t="shared" si="495"/>
        <v>0</v>
      </c>
      <c r="CA38" s="88">
        <f t="shared" si="495"/>
        <v>0</v>
      </c>
      <c r="CB38" s="88">
        <f t="shared" si="495"/>
        <v>0</v>
      </c>
      <c r="CC38" s="88">
        <f t="shared" si="495"/>
        <v>0</v>
      </c>
      <c r="CD38" s="103">
        <f>SUM(BM38:CC38)</f>
        <v>56.5</v>
      </c>
      <c r="CE38" s="52"/>
      <c r="CF38" s="107">
        <f>J38</f>
        <v>71.400000000000006</v>
      </c>
      <c r="CG38" s="104">
        <f>CD38/CF38</f>
        <v>0.79131652661064422</v>
      </c>
      <c r="CH38" s="53">
        <f>Seilareal/Lwl/Lwl</f>
        <v>1.0047154080284362</v>
      </c>
      <c r="CI38" s="119">
        <f>Seilareal/Depl^0.667/K$7</f>
        <v>1.4441977375320922</v>
      </c>
      <c r="CJ38" s="53">
        <f>Seilareal/Lwl/Lwl/SApRS1</f>
        <v>1.5244740508064372</v>
      </c>
      <c r="CK38" s="209"/>
      <c r="CL38" s="209">
        <f>(ROUND(TBF/CL$6,3)*CL$6)*CL$4</f>
        <v>88.999999999999986</v>
      </c>
      <c r="CM38" s="110">
        <f t="shared" si="234"/>
        <v>0.89235013537514751</v>
      </c>
      <c r="CN38" s="64">
        <f>IF(SeilBeregnet=0,"-",(SeilBeregnet)^(1/2)*StHfaktor/(Depl+DeplTillegg/1000+Vann/1000+Diesel/1000*0.84)^(1/3))</f>
        <v>3.5250804774584243</v>
      </c>
      <c r="CO38" s="64">
        <f t="shared" si="203"/>
        <v>1.6421770800160918</v>
      </c>
      <c r="CP38" s="64">
        <f t="shared" si="204"/>
        <v>1.703950183600329</v>
      </c>
      <c r="CQ38" s="110">
        <f t="shared" si="205"/>
        <v>1.0102972943774455</v>
      </c>
      <c r="CR38" s="172" t="str">
        <f t="shared" si="390"/>
        <v>-</v>
      </c>
      <c r="CS38" s="163">
        <f>CS37</f>
        <v>0</v>
      </c>
      <c r="CT38" s="172">
        <f t="shared" si="391"/>
        <v>0.88</v>
      </c>
      <c r="CU38" s="163">
        <f>CU37</f>
        <v>1.1399999999999999</v>
      </c>
      <c r="CV38" s="195" t="s">
        <v>145</v>
      </c>
      <c r="CW38" s="64">
        <v>0.81</v>
      </c>
      <c r="CX38" s="64">
        <v>0.83</v>
      </c>
      <c r="CY38" s="64">
        <v>0.87</v>
      </c>
      <c r="CZ38" s="64">
        <v>0.9</v>
      </c>
      <c r="DA38" s="64">
        <f t="shared" si="392"/>
        <v>2.0345097893118802</v>
      </c>
      <c r="DB38" s="49">
        <f t="shared" si="393"/>
        <v>11.7096018735363</v>
      </c>
      <c r="DC38" s="50">
        <f t="shared" si="394"/>
        <v>0</v>
      </c>
      <c r="DE38" s="110">
        <f>IF(SeilBeregnet=0,"-",DE$7*(DG:DG+DE$6)*DL:DL*PropF+ErfaringsF+Dyp_F)</f>
        <v>0.8846791187913462</v>
      </c>
      <c r="DF38" s="144">
        <f t="shared" si="446"/>
        <v>-3.5269474378909149</v>
      </c>
      <c r="DG38" s="110">
        <f t="shared" si="395"/>
        <v>5.2397499258497469</v>
      </c>
      <c r="DH38" s="136">
        <f t="shared" si="409"/>
        <v>3.536985031912927</v>
      </c>
      <c r="DI38" s="136">
        <f t="shared" si="410"/>
        <v>0</v>
      </c>
      <c r="DJ38" s="136">
        <f t="shared" si="411"/>
        <v>0</v>
      </c>
      <c r="DK38" s="136">
        <f t="shared" si="412"/>
        <v>1.7027648939368196</v>
      </c>
      <c r="DL38" s="110">
        <f t="shared" si="413"/>
        <v>1.703950183600329</v>
      </c>
      <c r="DM38" s="136">
        <f t="shared" si="414"/>
        <v>1.9561519910898788</v>
      </c>
      <c r="DO38" s="110">
        <f t="shared" si="467"/>
        <v>0.91994859317025535</v>
      </c>
      <c r="DP38" s="110">
        <f t="shared" si="396"/>
        <v>0.9089411023636127</v>
      </c>
      <c r="DQ38" s="125">
        <f>DP38-DO38</f>
        <v>-1.100749080664265E-2</v>
      </c>
      <c r="DR38" s="110">
        <f t="shared" si="397"/>
        <v>0.89157067990079752</v>
      </c>
      <c r="DS38" s="125">
        <f t="shared" si="447"/>
        <v>-2.8377913269457822E-2</v>
      </c>
      <c r="DT38" s="110">
        <f t="shared" si="398"/>
        <v>0.89994844345697589</v>
      </c>
      <c r="DU38" s="125">
        <f t="shared" si="448"/>
        <v>-2.0000149713279458E-2</v>
      </c>
      <c r="DV38" s="110">
        <f t="shared" si="415"/>
        <v>3.5367450453881584</v>
      </c>
      <c r="DW38" s="110">
        <f t="shared" si="416"/>
        <v>2.0350652130627531</v>
      </c>
      <c r="DX38" s="110">
        <f t="shared" si="417"/>
        <v>1.5239386793362142</v>
      </c>
      <c r="DZ38" s="110">
        <f t="shared" si="399"/>
        <v>0.89508275700986117</v>
      </c>
      <c r="EB38" s="110">
        <f t="shared" si="418"/>
        <v>3.5367450453881584</v>
      </c>
      <c r="EC38" s="110">
        <f t="shared" si="419"/>
        <v>2.0351953675882153</v>
      </c>
      <c r="ED38" s="110">
        <f t="shared" si="420"/>
        <v>1.7536069598143333</v>
      </c>
      <c r="EE38" s="110">
        <f t="shared" si="400"/>
        <v>0.88936231726031922</v>
      </c>
      <c r="EG38" s="110">
        <f t="shared" si="421"/>
        <v>5.3897825736177287</v>
      </c>
      <c r="EH38" s="110">
        <f t="shared" si="422"/>
        <v>3.5367450453881584</v>
      </c>
      <c r="EI38" s="110">
        <f t="shared" si="423"/>
        <v>1.5239386793362142</v>
      </c>
      <c r="EJ38" s="110">
        <f t="shared" si="424"/>
        <v>1.703950183600329</v>
      </c>
      <c r="EK38" s="110">
        <f>IF(SeilBeregnet=0,"-",EK$7*(EK$4*EM:EM+EK$6)*EP:EP*PropF+ErfaringsF+Dyp_F)</f>
        <v>0.89048074566708391</v>
      </c>
      <c r="EM38" s="110">
        <f>IF(SeilBeregnet=0,EM37,(EN:EN*EO:EO)^EM$3)</f>
        <v>1.8557382382221299</v>
      </c>
      <c r="EN38" s="110">
        <f t="shared" si="425"/>
        <v>3.5367450453881584</v>
      </c>
      <c r="EO38" s="110">
        <f t="shared" si="426"/>
        <v>0.97371011045604539</v>
      </c>
      <c r="EP38" s="110">
        <f t="shared" si="427"/>
        <v>1.7243497072538914</v>
      </c>
      <c r="EQ38" s="110">
        <f>IF(SeilBeregnet=0,"-",EQ$7*(ES:ES+EQ$6)*EV:EV*PropF+ErfaringsF+Dyp_F)</f>
        <v>0.85907624487143464</v>
      </c>
      <c r="ES38" s="110">
        <f>(ET:ET*EU:EU)^ES$3</f>
        <v>1.8558011978941373</v>
      </c>
      <c r="ET38" s="110">
        <f t="shared" si="428"/>
        <v>3.536985031912927</v>
      </c>
      <c r="EU38" s="110">
        <f t="shared" si="429"/>
        <v>0.97371011045604539</v>
      </c>
      <c r="EV38" s="110">
        <f t="shared" si="430"/>
        <v>1.7243497072538914</v>
      </c>
      <c r="EW38" s="110">
        <f>IF(SeilBeregnet=0,"-",EW$7*(EY:EY+EW$6)*FB:FB*PropF+ErfaringsF+Dyp_F)</f>
        <v>0.87086858594816507</v>
      </c>
      <c r="EX38" s="144">
        <f t="shared" si="449"/>
        <v>-4.9080007222090272</v>
      </c>
      <c r="EY38" s="110">
        <f>(EZ:EZ*FA:FA)^EY$3</f>
        <v>3.353455756832016</v>
      </c>
      <c r="EZ38" s="136">
        <f t="shared" si="431"/>
        <v>3.536985031912927</v>
      </c>
      <c r="FA38" s="136">
        <f t="shared" si="432"/>
        <v>0.9481113792043242</v>
      </c>
      <c r="FB38" s="110">
        <f t="shared" si="433"/>
        <v>0.9696730994687438</v>
      </c>
      <c r="FC38" s="110">
        <f>IF(SeilBeregnet=0,"-",FC$7*(FE:FE+FC$6)*FI:FI*PropF+ErfaringsF+Dyp_F)</f>
        <v>0.90373645339281738</v>
      </c>
      <c r="FD38" s="144">
        <f t="shared" si="450"/>
        <v>-1.6212139777437962</v>
      </c>
      <c r="FE38" s="110">
        <f>(FF:FF+FG:FG+FH:FH)^FE$3+FE$7</f>
        <v>5.6314045153143324</v>
      </c>
      <c r="FF38" s="136">
        <f t="shared" si="434"/>
        <v>3.536985031912927</v>
      </c>
      <c r="FG38" s="136">
        <f t="shared" si="435"/>
        <v>0.89165458946458531</v>
      </c>
      <c r="FH38" s="136">
        <f t="shared" si="436"/>
        <v>1.7027648939368196</v>
      </c>
      <c r="FI38" s="110">
        <f t="shared" si="437"/>
        <v>1.703950183600329</v>
      </c>
      <c r="FJ38" s="110">
        <f>IF(SeilBeregnet=0,"-",FJ$7*(FL:FL+FJ$6)*FO:FO*PropF+ErfaringsF+Dyp_F)</f>
        <v>0.87124424393077049</v>
      </c>
      <c r="FK38" s="144">
        <f t="shared" si="451"/>
        <v>-4.8704349239484852</v>
      </c>
      <c r="FL38" s="110">
        <f>(FM:FM*FN:FN)^FL$3</f>
        <v>6.0226539427213339</v>
      </c>
      <c r="FM38" s="136">
        <f t="shared" si="438"/>
        <v>3.536985031912927</v>
      </c>
      <c r="FN38" s="136">
        <f t="shared" si="439"/>
        <v>1.7027648939368196</v>
      </c>
      <c r="FO38" s="110">
        <f t="shared" si="440"/>
        <v>1.703950183600329</v>
      </c>
      <c r="FQ38">
        <v>0.95</v>
      </c>
      <c r="FR38" s="64">
        <f t="shared" si="452"/>
        <v>1.0894417833705248</v>
      </c>
      <c r="FS38" s="479"/>
      <c r="FT38" s="18"/>
      <c r="FU38" s="481"/>
      <c r="FV38" s="504"/>
      <c r="FW38" s="18"/>
      <c r="FX38" s="18"/>
      <c r="FY38" s="18"/>
      <c r="FZ38" s="18"/>
      <c r="GB38" s="18"/>
      <c r="GC38" s="481"/>
      <c r="GD38" s="8"/>
      <c r="GE38" s="8"/>
      <c r="GF38" s="8"/>
      <c r="GG38" s="8"/>
      <c r="GI38" s="18"/>
      <c r="GJ38" s="18"/>
      <c r="GK38" s="18"/>
      <c r="GL38" s="18"/>
      <c r="GM38" s="18"/>
      <c r="GN38" s="18"/>
      <c r="GO38" s="18"/>
      <c r="GP38" s="18"/>
    </row>
    <row r="39" spans="1:198" ht="15.6" x14ac:dyDescent="0.3">
      <c r="A39" s="62" t="s">
        <v>32</v>
      </c>
      <c r="B39" s="223"/>
      <c r="C39" s="14" t="str">
        <f>C37</f>
        <v>Gaffel</v>
      </c>
      <c r="G39" s="56"/>
      <c r="H39" s="209">
        <f>TBFavrundet</f>
        <v>86.999999999999986</v>
      </c>
      <c r="I39" s="65">
        <f>COUNTA(O39:AD39)</f>
        <v>3</v>
      </c>
      <c r="J39" s="228">
        <f>SUM(O39:AD39)</f>
        <v>62.800000000000004</v>
      </c>
      <c r="K39" s="119">
        <f>Seilareal/Depl^0.667/K$7</f>
        <v>1.2702467495380307</v>
      </c>
      <c r="L39" s="119">
        <f>Seilareal/Lwl/Lwl/L$7</f>
        <v>1.3408539270398354</v>
      </c>
      <c r="M39" s="95">
        <f>RiggF</f>
        <v>0.83121019108280259</v>
      </c>
      <c r="N39" s="265">
        <f>StHfaktor</f>
        <v>1.0102972943774455</v>
      </c>
      <c r="O39" s="147"/>
      <c r="P39" s="147"/>
      <c r="Q39" s="147">
        <v>15.4</v>
      </c>
      <c r="R39" s="147"/>
      <c r="S39" s="147"/>
      <c r="T39" s="169">
        <v>11.2</v>
      </c>
      <c r="U39" s="169">
        <v>36.200000000000003</v>
      </c>
      <c r="V39" s="148"/>
      <c r="W39" s="148"/>
      <c r="X39" s="148"/>
      <c r="Y39" s="147"/>
      <c r="Z39" s="147"/>
      <c r="AA39" s="147"/>
      <c r="AB39" s="147"/>
      <c r="AC39" s="147"/>
      <c r="AD39" s="147"/>
      <c r="AE39" s="260">
        <f t="shared" ref="AE39" si="496">AE38</f>
        <v>9.15</v>
      </c>
      <c r="AF39" s="375">
        <f t="shared" si="489"/>
        <v>0</v>
      </c>
      <c r="AG39" s="377"/>
      <c r="AH39" s="375">
        <f t="shared" si="489"/>
        <v>0</v>
      </c>
      <c r="AI39" s="377"/>
      <c r="AJ39" s="295" t="str">
        <f t="shared" ref="AJ39" si="497" xml:space="preserve"> AJ38</f>
        <v>Los</v>
      </c>
      <c r="AK39" s="47">
        <f>VLOOKUP(AJ39,Skrogform!$1:$1048576,3,FALSE)</f>
        <v>0.97</v>
      </c>
      <c r="AL39" s="66">
        <f t="shared" ref="AL39:AT39" si="498">AL38</f>
        <v>9.8000000000000007</v>
      </c>
      <c r="AM39" s="66">
        <f t="shared" si="498"/>
        <v>8.43</v>
      </c>
      <c r="AN39" s="66">
        <f t="shared" si="498"/>
        <v>3.38</v>
      </c>
      <c r="AO39" s="66">
        <f t="shared" si="498"/>
        <v>1.5</v>
      </c>
      <c r="AP39" s="66">
        <f t="shared" si="498"/>
        <v>9.6</v>
      </c>
      <c r="AQ39" s="66">
        <f t="shared" si="498"/>
        <v>2</v>
      </c>
      <c r="AR39" s="66">
        <f t="shared" si="498"/>
        <v>0.5</v>
      </c>
      <c r="AS39" s="284">
        <f t="shared" si="498"/>
        <v>16</v>
      </c>
      <c r="AT39" s="284">
        <f t="shared" si="498"/>
        <v>300</v>
      </c>
      <c r="AU39" s="284">
        <f t="shared" ref="AU39:AV39" si="499">AU38</f>
        <v>30</v>
      </c>
      <c r="AV39" s="284">
        <f t="shared" si="499"/>
        <v>200</v>
      </c>
      <c r="AW39" s="284"/>
      <c r="AX39" s="284">
        <f>AX38</f>
        <v>0</v>
      </c>
      <c r="AY39" s="68"/>
      <c r="AZ39" s="68"/>
      <c r="BA39" s="289"/>
      <c r="BB39" s="68"/>
      <c r="BC39" s="179"/>
      <c r="BD39" s="68"/>
      <c r="BE39" s="68"/>
      <c r="BF39" s="67" t="str">
        <f t="shared" ref="BF39:BH39" si="500" xml:space="preserve"> BF38</f>
        <v>Fast</v>
      </c>
      <c r="BG39" s="295">
        <f t="shared" si="500"/>
        <v>2</v>
      </c>
      <c r="BH39" s="295">
        <f t="shared" si="500"/>
        <v>59</v>
      </c>
      <c r="BI39" s="47">
        <f t="shared" si="464"/>
        <v>0.98106311768326038</v>
      </c>
      <c r="BJ39" s="61"/>
      <c r="BK39" s="61"/>
      <c r="BM39" s="51">
        <f t="shared" si="494"/>
        <v>0</v>
      </c>
      <c r="BN39" s="51">
        <f t="shared" si="494"/>
        <v>0</v>
      </c>
      <c r="BO39" s="51">
        <f t="shared" si="494"/>
        <v>15.4</v>
      </c>
      <c r="BP39" s="51">
        <f t="shared" si="494"/>
        <v>0</v>
      </c>
      <c r="BQ39" s="51">
        <f t="shared" si="494"/>
        <v>0</v>
      </c>
      <c r="BR39" s="51">
        <f t="shared" si="494"/>
        <v>11.2</v>
      </c>
      <c r="BS39" s="52">
        <f>IF(COUNT(P39:T39)&gt;1,MINA(P39:T39)*BS$9,0)</f>
        <v>-3.36</v>
      </c>
      <c r="BT39" s="88">
        <f t="shared" si="495"/>
        <v>28.960000000000004</v>
      </c>
      <c r="BU39" s="88">
        <f t="shared" si="495"/>
        <v>0</v>
      </c>
      <c r="BV39" s="88">
        <f t="shared" si="495"/>
        <v>0</v>
      </c>
      <c r="BW39" s="88">
        <f t="shared" si="495"/>
        <v>0</v>
      </c>
      <c r="BX39" s="88">
        <f t="shared" si="495"/>
        <v>0</v>
      </c>
      <c r="BY39" s="88">
        <f t="shared" si="495"/>
        <v>0</v>
      </c>
      <c r="BZ39" s="88">
        <f t="shared" si="495"/>
        <v>0</v>
      </c>
      <c r="CA39" s="88">
        <f t="shared" si="495"/>
        <v>0</v>
      </c>
      <c r="CB39" s="88">
        <f t="shared" si="495"/>
        <v>0</v>
      </c>
      <c r="CC39" s="88">
        <f t="shared" si="495"/>
        <v>0</v>
      </c>
      <c r="CD39" s="103">
        <f>SUM(BM39:CC39)</f>
        <v>52.2</v>
      </c>
      <c r="CE39" s="52"/>
      <c r="CF39" s="107">
        <f>J39</f>
        <v>62.800000000000004</v>
      </c>
      <c r="CG39" s="104">
        <f>CD39/CF39</f>
        <v>0.83121019108280259</v>
      </c>
      <c r="CH39" s="53">
        <f>Seilareal/Lwl/Lwl</f>
        <v>0.88369926644517915</v>
      </c>
      <c r="CI39" s="119">
        <f>Seilareal/Depl^0.667/K$7</f>
        <v>1.2702467495380307</v>
      </c>
      <c r="CJ39" s="53">
        <f>Seilareal/Lwl/Lwl/SApRS1</f>
        <v>1.3408539270398354</v>
      </c>
      <c r="CK39" s="209"/>
      <c r="CL39" s="209">
        <f>(ROUND(TBF/CL$6,3)*CL$6)*CL$4</f>
        <v>86.999999999999986</v>
      </c>
      <c r="CM39" s="110">
        <f t="shared" si="234"/>
        <v>0.86872666570217016</v>
      </c>
      <c r="CN39" s="64">
        <f>IF(SeilBeregnet=0,"-",(SeilBeregnet)^(1/2)*StHfaktor/(Depl+DeplTillegg/1000+Vann/1000+Diesel/1000*0.84)^(1/3))</f>
        <v>3.38828602048202</v>
      </c>
      <c r="CO39" s="64">
        <f t="shared" si="203"/>
        <v>1.6421770800160918</v>
      </c>
      <c r="CP39" s="64">
        <f t="shared" si="204"/>
        <v>1.703950183600329</v>
      </c>
      <c r="CQ39" s="110">
        <f t="shared" si="205"/>
        <v>1.0102972943774455</v>
      </c>
      <c r="CR39" s="172" t="str">
        <f t="shared" si="390"/>
        <v>-</v>
      </c>
      <c r="CS39" s="162"/>
      <c r="CT39" s="172" t="str">
        <f t="shared" si="391"/>
        <v>-</v>
      </c>
      <c r="CU39" s="164"/>
      <c r="CV39" s="195" t="s">
        <v>145</v>
      </c>
      <c r="CW39" s="64">
        <v>0.78</v>
      </c>
      <c r="CX39" s="64">
        <v>0.82</v>
      </c>
      <c r="CY39" s="64">
        <v>0.84</v>
      </c>
      <c r="CZ39" s="154">
        <v>0.88</v>
      </c>
      <c r="DA39" s="64">
        <f t="shared" si="392"/>
        <v>2.0345097893118802</v>
      </c>
      <c r="DB39" s="49">
        <f t="shared" si="393"/>
        <v>11.7096018735363</v>
      </c>
      <c r="DC39" s="50">
        <f t="shared" si="394"/>
        <v>0</v>
      </c>
      <c r="DE39" s="110">
        <f>IF(SeilBeregnet=0,"-",DE$7*(DG:DG+DE$6)*DL:DL*PropF+ErfaringsF+Dyp_F)</f>
        <v>0.86150475064618814</v>
      </c>
      <c r="DF39" s="144" t="str">
        <f t="shared" si="446"/>
        <v>-</v>
      </c>
      <c r="DG39" s="110">
        <f t="shared" si="395"/>
        <v>5.1024935001119021</v>
      </c>
      <c r="DH39" s="136">
        <f t="shared" si="409"/>
        <v>3.3997286061750822</v>
      </c>
      <c r="DI39" s="136">
        <f t="shared" si="410"/>
        <v>0</v>
      </c>
      <c r="DJ39" s="136">
        <f t="shared" si="411"/>
        <v>0</v>
      </c>
      <c r="DK39" s="136">
        <f t="shared" si="412"/>
        <v>1.7027648939368196</v>
      </c>
      <c r="DL39" s="110">
        <f t="shared" si="413"/>
        <v>1.703950183600329</v>
      </c>
      <c r="DM39" s="136">
        <f t="shared" si="414"/>
        <v>1.9561519910898788</v>
      </c>
      <c r="DO39" s="110">
        <f t="shared" si="467"/>
        <v>0.89559450072388658</v>
      </c>
      <c r="DP39" s="110">
        <f t="shared" si="396"/>
        <v>0.88132557363067543</v>
      </c>
      <c r="DR39" s="110">
        <f t="shared" si="397"/>
        <v>0.87000834809573069</v>
      </c>
      <c r="DS39" s="125" t="str">
        <f t="shared" si="447"/>
        <v>-</v>
      </c>
      <c r="DT39" s="110">
        <f t="shared" si="398"/>
        <v>0.87377966128643447</v>
      </c>
      <c r="DU39" s="125" t="str">
        <f t="shared" si="448"/>
        <v>-</v>
      </c>
      <c r="DV39" s="110">
        <f t="shared" si="415"/>
        <v>3.3994979325799179</v>
      </c>
      <c r="DW39" s="110">
        <f t="shared" si="416"/>
        <v>2.0350652130627531</v>
      </c>
      <c r="DX39" s="110">
        <f t="shared" si="417"/>
        <v>1.5239386793362142</v>
      </c>
      <c r="DZ39" s="110">
        <f t="shared" si="399"/>
        <v>0.87168488036796277</v>
      </c>
      <c r="EB39" s="110">
        <f t="shared" si="418"/>
        <v>3.3994979325799179</v>
      </c>
      <c r="EC39" s="110">
        <f t="shared" si="419"/>
        <v>2.0351953675882153</v>
      </c>
      <c r="ED39" s="110">
        <f t="shared" si="420"/>
        <v>1.7536069598143333</v>
      </c>
      <c r="EE39" s="110">
        <f t="shared" si="400"/>
        <v>0.86419031436681937</v>
      </c>
      <c r="EG39" s="110">
        <f t="shared" si="421"/>
        <v>5.1806263897820308</v>
      </c>
      <c r="EH39" s="110">
        <f t="shared" si="422"/>
        <v>3.3994979325799179</v>
      </c>
      <c r="EI39" s="110">
        <f t="shared" si="423"/>
        <v>1.5239386793362142</v>
      </c>
      <c r="EJ39" s="110">
        <f t="shared" si="424"/>
        <v>1.703950183600329</v>
      </c>
      <c r="EK39" s="110">
        <f>IF(SeilBeregnet=0,"-",EK$7*(EK$4*EM:EM+EK$6)*EP:EP*PropF+ErfaringsF+Dyp_F)</f>
        <v>0.86659653705666484</v>
      </c>
      <c r="EM39" s="110">
        <f>IF(SeilBeregnet=0,EM38,(EN:EN*EO:EO)^EM$3)</f>
        <v>1.8193750320996191</v>
      </c>
      <c r="EN39" s="110">
        <f t="shared" si="425"/>
        <v>3.3994979325799179</v>
      </c>
      <c r="EO39" s="110">
        <f t="shared" si="426"/>
        <v>0.97371011045604539</v>
      </c>
      <c r="EP39" s="110">
        <f t="shared" si="427"/>
        <v>1.7243497072538914</v>
      </c>
      <c r="EQ39" s="110">
        <f>IF(SeilBeregnet=0,"-",EQ$7*(ES:ES+EQ$6)*EV:EV*PropF+ErfaringsF+Dyp_F)</f>
        <v>0.84224263874973271</v>
      </c>
      <c r="ES39" s="110">
        <f>(ET:ET*EU:EU)^ES$3</f>
        <v>1.8194367580763329</v>
      </c>
      <c r="ET39" s="110">
        <f t="shared" si="428"/>
        <v>3.3997286061750822</v>
      </c>
      <c r="EU39" s="110">
        <f t="shared" si="429"/>
        <v>0.97371011045604539</v>
      </c>
      <c r="EV39" s="110">
        <f t="shared" si="430"/>
        <v>1.7243497072538914</v>
      </c>
      <c r="EW39" s="110">
        <f>IF(SeilBeregnet=0,"-",EW$7*(EY:EY+EW$6)*FB:FB*PropF+ErfaringsF+Dyp_F)</f>
        <v>0.84969909321910353</v>
      </c>
      <c r="EX39" s="144" t="str">
        <f t="shared" si="449"/>
        <v>-</v>
      </c>
      <c r="EY39" s="110">
        <f>(EZ:EZ*FA:FA)^EY$3</f>
        <v>3.2233213777210521</v>
      </c>
      <c r="EZ39" s="136">
        <f t="shared" si="431"/>
        <v>3.3997286061750822</v>
      </c>
      <c r="FA39" s="136">
        <f t="shared" si="432"/>
        <v>0.9481113792043242</v>
      </c>
      <c r="FB39" s="110">
        <f t="shared" si="433"/>
        <v>0.9696730994687438</v>
      </c>
      <c r="FC39" s="110">
        <f>IF(SeilBeregnet=0,"-",FC$7*(FE:FE+FC$6)*FI:FI*PropF+ErfaringsF+Dyp_F)</f>
        <v>0.87615641411414569</v>
      </c>
      <c r="FD39" s="144" t="str">
        <f t="shared" si="450"/>
        <v>-</v>
      </c>
      <c r="FE39" s="110">
        <f>(FF:FF+FG:FG+FH:FH)^FE$3+FE$7</f>
        <v>5.459546495043738</v>
      </c>
      <c r="FF39" s="136">
        <f t="shared" si="434"/>
        <v>3.3997286061750822</v>
      </c>
      <c r="FG39" s="136">
        <f t="shared" si="435"/>
        <v>0.85705299493183595</v>
      </c>
      <c r="FH39" s="136">
        <f t="shared" si="436"/>
        <v>1.7027648939368196</v>
      </c>
      <c r="FI39" s="110">
        <f t="shared" si="437"/>
        <v>1.703950183600329</v>
      </c>
      <c r="FJ39" s="110">
        <f>IF(SeilBeregnet=0,"-",FJ$7*(FL:FL+FJ$6)*FO:FO*PropF+ErfaringsF+Dyp_F)</f>
        <v>0.85092794663502169</v>
      </c>
      <c r="FK39" s="144" t="str">
        <f t="shared" si="451"/>
        <v>-</v>
      </c>
      <c r="FL39" s="110">
        <f>(FM:FM*FN:FN)^FL$3</f>
        <v>5.7889385195076857</v>
      </c>
      <c r="FM39" s="136">
        <f t="shared" si="438"/>
        <v>3.3997286061750822</v>
      </c>
      <c r="FN39" s="136">
        <f t="shared" si="439"/>
        <v>1.7027648939368196</v>
      </c>
      <c r="FO39" s="110">
        <f t="shared" si="440"/>
        <v>1.703950183600329</v>
      </c>
      <c r="FQ39">
        <v>0.95</v>
      </c>
      <c r="FR39" s="64">
        <f t="shared" si="452"/>
        <v>1.0686622960106764</v>
      </c>
      <c r="FS39" s="479"/>
      <c r="FT39" s="18"/>
      <c r="FU39" s="481"/>
      <c r="FV39" s="504"/>
      <c r="FW39" s="18"/>
      <c r="FX39" s="18"/>
      <c r="FY39" s="18"/>
      <c r="FZ39" s="18"/>
      <c r="GB39" s="18"/>
      <c r="GC39" s="481"/>
      <c r="GD39" s="8"/>
      <c r="GE39" s="8"/>
      <c r="GF39" s="8"/>
      <c r="GG39" s="8"/>
      <c r="GI39" s="18"/>
      <c r="GJ39" s="18"/>
      <c r="GK39" s="18"/>
      <c r="GL39" s="18"/>
      <c r="GM39" s="18"/>
      <c r="GN39" s="18"/>
      <c r="GO39" s="18"/>
      <c r="GP39" s="18"/>
    </row>
    <row r="40" spans="1:198" ht="15.6" x14ac:dyDescent="0.3">
      <c r="A40" s="62" t="s">
        <v>38</v>
      </c>
      <c r="B40" s="223"/>
      <c r="C40" s="14" t="str">
        <f>C38</f>
        <v>Gaffel</v>
      </c>
      <c r="G40" s="56"/>
      <c r="H40" s="209">
        <f>TBFavrundet</f>
        <v>74.5</v>
      </c>
      <c r="I40" s="65">
        <f>COUNTA(O40:AD40)</f>
        <v>2</v>
      </c>
      <c r="J40" s="228">
        <f>SUM(O40:AD40)</f>
        <v>39.4</v>
      </c>
      <c r="K40" s="119">
        <f>Seilareal/Depl^0.667/K$7</f>
        <v>0.79693824732163066</v>
      </c>
      <c r="L40" s="119">
        <f>Seilareal/Lwl/Lwl/L$7</f>
        <v>0.84123638097722142</v>
      </c>
      <c r="M40" s="95">
        <f>RiggF</f>
        <v>0.82106598984771562</v>
      </c>
      <c r="N40" s="265">
        <f>StHfaktor</f>
        <v>1.0102972943774455</v>
      </c>
      <c r="O40" s="147"/>
      <c r="P40" s="147"/>
      <c r="Q40" s="147"/>
      <c r="R40" s="147"/>
      <c r="S40" s="147"/>
      <c r="T40" s="169">
        <v>11.2</v>
      </c>
      <c r="U40" s="148"/>
      <c r="V40" s="169">
        <v>28.2</v>
      </c>
      <c r="W40" s="148"/>
      <c r="X40" s="148"/>
      <c r="Y40" s="147"/>
      <c r="Z40" s="147"/>
      <c r="AA40" s="147"/>
      <c r="AB40" s="147"/>
      <c r="AC40" s="147"/>
      <c r="AD40" s="147"/>
      <c r="AE40" s="260">
        <f t="shared" ref="AE40" si="501">AE39</f>
        <v>9.15</v>
      </c>
      <c r="AF40" s="375">
        <f t="shared" si="489"/>
        <v>0</v>
      </c>
      <c r="AG40" s="377"/>
      <c r="AH40" s="375">
        <f t="shared" si="489"/>
        <v>0</v>
      </c>
      <c r="AI40" s="377"/>
      <c r="AJ40" s="295" t="str">
        <f t="shared" ref="AJ40" si="502" xml:space="preserve"> AJ39</f>
        <v>Los</v>
      </c>
      <c r="AK40" s="47">
        <f>VLOOKUP(AJ40,Skrogform!$1:$1048576,3,FALSE)</f>
        <v>0.97</v>
      </c>
      <c r="AL40" s="66">
        <f t="shared" ref="AL40:AT40" si="503">AL39</f>
        <v>9.8000000000000007</v>
      </c>
      <c r="AM40" s="66">
        <f t="shared" si="503"/>
        <v>8.43</v>
      </c>
      <c r="AN40" s="66">
        <f t="shared" si="503"/>
        <v>3.38</v>
      </c>
      <c r="AO40" s="66">
        <f t="shared" si="503"/>
        <v>1.5</v>
      </c>
      <c r="AP40" s="66">
        <f t="shared" si="503"/>
        <v>9.6</v>
      </c>
      <c r="AQ40" s="66">
        <f t="shared" si="503"/>
        <v>2</v>
      </c>
      <c r="AR40" s="66">
        <f t="shared" si="503"/>
        <v>0.5</v>
      </c>
      <c r="AS40" s="284">
        <f t="shared" si="503"/>
        <v>16</v>
      </c>
      <c r="AT40" s="284">
        <f t="shared" si="503"/>
        <v>300</v>
      </c>
      <c r="AU40" s="284">
        <f t="shared" ref="AU40:AV40" si="504">AU39</f>
        <v>30</v>
      </c>
      <c r="AV40" s="284">
        <f t="shared" si="504"/>
        <v>200</v>
      </c>
      <c r="AW40" s="284"/>
      <c r="AX40" s="284">
        <f>AX39</f>
        <v>0</v>
      </c>
      <c r="AY40" s="68"/>
      <c r="AZ40" s="68"/>
      <c r="BA40" s="289"/>
      <c r="BB40" s="68"/>
      <c r="BC40" s="179"/>
      <c r="BD40" s="68"/>
      <c r="BE40" s="68"/>
      <c r="BF40" s="67" t="str">
        <f t="shared" ref="BF40:BH40" si="505" xml:space="preserve"> BF39</f>
        <v>Fast</v>
      </c>
      <c r="BG40" s="295">
        <f t="shared" si="505"/>
        <v>2</v>
      </c>
      <c r="BH40" s="295">
        <f t="shared" si="505"/>
        <v>59</v>
      </c>
      <c r="BI40" s="47">
        <f t="shared" si="464"/>
        <v>0.98106311768326038</v>
      </c>
      <c r="BJ40" s="61"/>
      <c r="BK40" s="61"/>
      <c r="BM40" s="51">
        <f t="shared" si="494"/>
        <v>0</v>
      </c>
      <c r="BN40" s="51">
        <f t="shared" si="494"/>
        <v>0</v>
      </c>
      <c r="BO40" s="51">
        <f t="shared" si="494"/>
        <v>0</v>
      </c>
      <c r="BP40" s="51">
        <f t="shared" si="494"/>
        <v>0</v>
      </c>
      <c r="BQ40" s="51">
        <f t="shared" si="494"/>
        <v>0</v>
      </c>
      <c r="BR40" s="51">
        <f t="shared" si="494"/>
        <v>11.2</v>
      </c>
      <c r="BS40" s="52">
        <f>IF(COUNT(P40:T40)&gt;1,MINA(P40:T40)*BS$9,0)</f>
        <v>0</v>
      </c>
      <c r="BT40" s="88">
        <f t="shared" si="495"/>
        <v>0</v>
      </c>
      <c r="BU40" s="88">
        <f t="shared" si="495"/>
        <v>21.15</v>
      </c>
      <c r="BV40" s="88">
        <f t="shared" si="495"/>
        <v>0</v>
      </c>
      <c r="BW40" s="88">
        <f t="shared" si="495"/>
        <v>0</v>
      </c>
      <c r="BX40" s="88">
        <f t="shared" si="495"/>
        <v>0</v>
      </c>
      <c r="BY40" s="88">
        <f t="shared" si="495"/>
        <v>0</v>
      </c>
      <c r="BZ40" s="88">
        <f t="shared" si="495"/>
        <v>0</v>
      </c>
      <c r="CA40" s="88">
        <f t="shared" si="495"/>
        <v>0</v>
      </c>
      <c r="CB40" s="88">
        <f t="shared" si="495"/>
        <v>0</v>
      </c>
      <c r="CC40" s="88">
        <f t="shared" si="495"/>
        <v>0</v>
      </c>
      <c r="CD40" s="103">
        <f>SUM(BM40:CC40)</f>
        <v>32.349999999999994</v>
      </c>
      <c r="CE40" s="52"/>
      <c r="CF40" s="107">
        <f>J40</f>
        <v>39.4</v>
      </c>
      <c r="CG40" s="104">
        <f>CD40/CF40</f>
        <v>0.82106598984771562</v>
      </c>
      <c r="CH40" s="53">
        <f>Seilareal/Lwl/Lwl</f>
        <v>0.55442278818375879</v>
      </c>
      <c r="CI40" s="119">
        <f>Seilareal/Depl^0.667/K$7</f>
        <v>0.79693824732163066</v>
      </c>
      <c r="CJ40" s="53">
        <f>Seilareal/Lwl/Lwl/SApRS1</f>
        <v>0.84123638097722142</v>
      </c>
      <c r="CK40" s="209"/>
      <c r="CL40" s="209">
        <f>(ROUND(TBF/CL$6,3)*CL$6)*CL$4</f>
        <v>74.5</v>
      </c>
      <c r="CM40" s="110">
        <f t="shared" si="234"/>
        <v>0.74422799950933793</v>
      </c>
      <c r="CN40" s="64">
        <f>IF(SeilBeregnet=0,"-",(SeilBeregnet)^(1/2)*StHfaktor/(Depl+DeplTillegg/1000+Vann/1000+Diesel/1000*0.84)^(1/3))</f>
        <v>2.667361970294079</v>
      </c>
      <c r="CO40" s="64">
        <f t="shared" si="203"/>
        <v>1.6421770800160918</v>
      </c>
      <c r="CP40" s="64">
        <f t="shared" si="204"/>
        <v>1.703950183600329</v>
      </c>
      <c r="CQ40" s="110">
        <f t="shared" si="205"/>
        <v>1.0102972943774455</v>
      </c>
      <c r="CR40" s="172" t="str">
        <f t="shared" si="390"/>
        <v>-</v>
      </c>
      <c r="CS40" s="162"/>
      <c r="CT40" s="172" t="str">
        <f t="shared" si="391"/>
        <v>-</v>
      </c>
      <c r="CU40" s="164"/>
      <c r="CV40" s="195" t="s">
        <v>145</v>
      </c>
      <c r="CW40" s="64">
        <v>0.66</v>
      </c>
      <c r="CX40" s="64">
        <v>0.74</v>
      </c>
      <c r="CY40" s="64">
        <v>0.73</v>
      </c>
      <c r="CZ40" s="154">
        <v>0.76</v>
      </c>
      <c r="DA40" s="64">
        <f t="shared" si="392"/>
        <v>2.0345097893118802</v>
      </c>
      <c r="DB40" s="49">
        <f t="shared" si="393"/>
        <v>11.7096018735363</v>
      </c>
      <c r="DC40" s="50">
        <f t="shared" si="394"/>
        <v>0</v>
      </c>
      <c r="DE40" s="110">
        <f>IF(SeilBeregnet=0,"-",DE$7*(DG:DG+DE$6)*DL:DL*PropF+ErfaringsF+Dyp_F)</f>
        <v>0.73937290617652873</v>
      </c>
      <c r="DF40" s="144" t="str">
        <f t="shared" si="446"/>
        <v>-</v>
      </c>
      <c r="DG40" s="110">
        <f t="shared" si="395"/>
        <v>4.3791348162559061</v>
      </c>
      <c r="DH40" s="136">
        <f t="shared" si="409"/>
        <v>2.6763699223190867</v>
      </c>
      <c r="DI40" s="136">
        <f t="shared" si="410"/>
        <v>0</v>
      </c>
      <c r="DJ40" s="136">
        <f t="shared" si="411"/>
        <v>0</v>
      </c>
      <c r="DK40" s="136">
        <f t="shared" si="412"/>
        <v>1.7027648939368196</v>
      </c>
      <c r="DL40" s="110">
        <f t="shared" si="413"/>
        <v>1.703950183600329</v>
      </c>
      <c r="DM40" s="136">
        <f t="shared" si="414"/>
        <v>1.9561519910898788</v>
      </c>
      <c r="DO40" s="110">
        <f t="shared" si="467"/>
        <v>0.76724536031890511</v>
      </c>
      <c r="DP40" s="110">
        <f t="shared" si="396"/>
        <v>0.73578825243889334</v>
      </c>
      <c r="DR40" s="110">
        <f t="shared" si="397"/>
        <v>0.75637213855921148</v>
      </c>
      <c r="DS40" s="125" t="str">
        <f t="shared" si="447"/>
        <v>-</v>
      </c>
      <c r="DT40" s="110">
        <f t="shared" si="398"/>
        <v>0.73586687704162512</v>
      </c>
      <c r="DU40" s="125" t="str">
        <f t="shared" si="448"/>
        <v>-</v>
      </c>
      <c r="DV40" s="110">
        <f t="shared" si="415"/>
        <v>2.6761883290381259</v>
      </c>
      <c r="DW40" s="110">
        <f t="shared" si="416"/>
        <v>2.0350652130627531</v>
      </c>
      <c r="DX40" s="110">
        <f t="shared" si="417"/>
        <v>1.5239386793362142</v>
      </c>
      <c r="DZ40" s="110">
        <f t="shared" si="399"/>
        <v>0.74837511791622258</v>
      </c>
      <c r="EB40" s="110">
        <f t="shared" si="418"/>
        <v>2.6761883290381259</v>
      </c>
      <c r="EC40" s="110">
        <f t="shared" si="419"/>
        <v>2.0351953675882153</v>
      </c>
      <c r="ED40" s="110">
        <f t="shared" si="420"/>
        <v>1.7536069598143333</v>
      </c>
      <c r="EE40" s="110">
        <f t="shared" si="400"/>
        <v>0.73153068269435451</v>
      </c>
      <c r="EG40" s="110">
        <f t="shared" si="421"/>
        <v>4.0783469078093511</v>
      </c>
      <c r="EH40" s="110">
        <f t="shared" si="422"/>
        <v>2.6761883290381259</v>
      </c>
      <c r="EI40" s="110">
        <f t="shared" si="423"/>
        <v>1.5239386793362142</v>
      </c>
      <c r="EJ40" s="110">
        <f t="shared" si="424"/>
        <v>1.703950183600329</v>
      </c>
      <c r="EK40" s="110">
        <f>IF(SeilBeregnet=0,"-",EK$7*(EK$4*EM:EM+EK$6)*EP:EP*PropF+ErfaringsF+Dyp_F)</f>
        <v>0.73187140649456106</v>
      </c>
      <c r="EM40" s="110">
        <f>IF(SeilBeregnet=0,EM39,(EN:EN*EO:EO)^EM$3)</f>
        <v>1.6142588495866743</v>
      </c>
      <c r="EN40" s="110">
        <f t="shared" si="425"/>
        <v>2.6761883290381259</v>
      </c>
      <c r="EO40" s="110">
        <f t="shared" si="426"/>
        <v>0.97371011045604539</v>
      </c>
      <c r="EP40" s="110">
        <f t="shared" si="427"/>
        <v>1.7243497072538914</v>
      </c>
      <c r="EQ40" s="110">
        <f>IF(SeilBeregnet=0,"-",EQ$7*(ES:ES+EQ$6)*EV:EV*PropF+ErfaringsF+Dyp_F)</f>
        <v>0.74728827708049161</v>
      </c>
      <c r="ES40" s="110">
        <f>(ET:ET*EU:EU)^ES$3</f>
        <v>1.6143136165821546</v>
      </c>
      <c r="ET40" s="110">
        <f t="shared" si="428"/>
        <v>2.6763699223190867</v>
      </c>
      <c r="EU40" s="110">
        <f t="shared" si="429"/>
        <v>0.97371011045604539</v>
      </c>
      <c r="EV40" s="110">
        <f t="shared" si="430"/>
        <v>1.7243497072538914</v>
      </c>
      <c r="EW40" s="110">
        <f>IF(SeilBeregnet=0,"-",EW$7*(EY:EY+EW$6)*FB:FB*PropF+ErfaringsF+Dyp_F)</f>
        <v>0.73813319518500675</v>
      </c>
      <c r="EX40" s="144" t="str">
        <f t="shared" si="449"/>
        <v>-</v>
      </c>
      <c r="EY40" s="110">
        <f>(EZ:EZ*FA:FA)^EY$3</f>
        <v>2.5374967783109192</v>
      </c>
      <c r="EZ40" s="136">
        <f t="shared" si="431"/>
        <v>2.6763699223190867</v>
      </c>
      <c r="FA40" s="136">
        <f t="shared" si="432"/>
        <v>0.9481113792043242</v>
      </c>
      <c r="FB40" s="110">
        <f t="shared" si="433"/>
        <v>0.9696730994687438</v>
      </c>
      <c r="FC40" s="110">
        <f>IF(SeilBeregnet=0,"-",FC$7*(FE:FE+FC$6)*FI:FI*PropF+ErfaringsF+Dyp_F)</f>
        <v>0.73080612682471235</v>
      </c>
      <c r="FD40" s="144" t="str">
        <f t="shared" si="450"/>
        <v>-</v>
      </c>
      <c r="FE40" s="110">
        <f>(FF:FF+FG:FG+FH:FH)^FE$3+FE$7</f>
        <v>4.5538330416679997</v>
      </c>
      <c r="FF40" s="136">
        <f t="shared" si="434"/>
        <v>2.6763699223190867</v>
      </c>
      <c r="FG40" s="136">
        <f t="shared" si="435"/>
        <v>0.67469822541209357</v>
      </c>
      <c r="FH40" s="136">
        <f t="shared" si="436"/>
        <v>1.7027648939368196</v>
      </c>
      <c r="FI40" s="110">
        <f t="shared" si="437"/>
        <v>1.703950183600329</v>
      </c>
      <c r="FJ40" s="110">
        <f>IF(SeilBeregnet=0,"-",FJ$7*(FL:FL+FJ$6)*FO:FO*PropF+ErfaringsF+Dyp_F)</f>
        <v>0.74385849619815281</v>
      </c>
      <c r="FK40" s="144" t="str">
        <f t="shared" si="451"/>
        <v>-</v>
      </c>
      <c r="FL40" s="110">
        <f>(FM:FM*FN:FN)^FL$3</f>
        <v>4.5572287469133537</v>
      </c>
      <c r="FM40" s="136">
        <f t="shared" si="438"/>
        <v>2.6763699223190867</v>
      </c>
      <c r="FN40" s="136">
        <f t="shared" si="439"/>
        <v>1.7027648939368196</v>
      </c>
      <c r="FO40" s="110">
        <f t="shared" si="440"/>
        <v>1.703950183600329</v>
      </c>
      <c r="FQ40">
        <v>0.95</v>
      </c>
      <c r="FR40" s="64">
        <f t="shared" si="452"/>
        <v>0.959151775486625</v>
      </c>
      <c r="FS40" s="479"/>
      <c r="FT40" s="18"/>
      <c r="FU40" s="481"/>
      <c r="FV40" s="504"/>
      <c r="FW40" s="18"/>
      <c r="FX40" s="18"/>
      <c r="FY40" s="18"/>
      <c r="FZ40" s="18"/>
      <c r="GB40" s="18"/>
      <c r="GC40" s="481"/>
      <c r="GD40" s="8"/>
      <c r="GE40" s="8"/>
      <c r="GF40" s="8"/>
      <c r="GG40" s="8"/>
      <c r="GI40" s="18"/>
      <c r="GJ40" s="18"/>
      <c r="GK40" s="18"/>
      <c r="GL40" s="18"/>
      <c r="GM40" s="18"/>
      <c r="GN40" s="18"/>
      <c r="GO40" s="18"/>
      <c r="GP40" s="18"/>
    </row>
    <row r="41" spans="1:198" ht="15.6" x14ac:dyDescent="0.3">
      <c r="A41" s="54" t="s">
        <v>56</v>
      </c>
      <c r="B41" s="223">
        <f t="shared" ref="B41" si="506">Loa/0.3048</f>
        <v>40.026246719160099</v>
      </c>
      <c r="C41" s="55" t="s">
        <v>22</v>
      </c>
      <c r="D41" s="55"/>
      <c r="E41" s="55"/>
      <c r="F41" s="55"/>
      <c r="G41" s="56"/>
      <c r="H41" s="209"/>
      <c r="I41" s="126" t="str">
        <f>A41</f>
        <v>Karuna</v>
      </c>
      <c r="J41" s="229"/>
      <c r="K41" s="119"/>
      <c r="L41" s="119"/>
      <c r="M41" s="95"/>
      <c r="N41" s="265"/>
      <c r="O41" s="169"/>
      <c r="P41" s="169"/>
      <c r="Q41" s="169">
        <v>24.7</v>
      </c>
      <c r="R41" s="169"/>
      <c r="S41" s="169"/>
      <c r="T41" s="169">
        <v>17.600000000000001</v>
      </c>
      <c r="U41" s="169">
        <v>49.3</v>
      </c>
      <c r="V41" s="181">
        <f>StorS-7.5*1.2</f>
        <v>40.299999999999997</v>
      </c>
      <c r="W41" s="181">
        <f>StorS-7.5*1.2-6.5*1.2</f>
        <v>32.5</v>
      </c>
      <c r="X41" s="169"/>
      <c r="Y41" s="169">
        <v>12</v>
      </c>
      <c r="Z41" s="169"/>
      <c r="AA41" s="169"/>
      <c r="AB41" s="169"/>
      <c r="AC41" s="169"/>
      <c r="AD41" s="169"/>
      <c r="AE41" s="270">
        <v>10.3</v>
      </c>
      <c r="AF41" s="296"/>
      <c r="AG41" s="377"/>
      <c r="AH41" s="296"/>
      <c r="AI41" s="377"/>
      <c r="AJ41" s="296" t="s">
        <v>237</v>
      </c>
      <c r="AK41" s="47">
        <f>VLOOKUP(AJ41,Skrogform!$1:$1048576,3,FALSE)</f>
        <v>0.98</v>
      </c>
      <c r="AL41" s="57">
        <v>12.2</v>
      </c>
      <c r="AM41" s="175">
        <v>10.5</v>
      </c>
      <c r="AN41" s="57">
        <v>3.65</v>
      </c>
      <c r="AO41" s="57">
        <v>1.85</v>
      </c>
      <c r="AP41" s="57">
        <v>16.399999999999999</v>
      </c>
      <c r="AQ41" s="57">
        <v>2.5</v>
      </c>
      <c r="AR41" s="57">
        <v>2.5</v>
      </c>
      <c r="AS41" s="281">
        <v>50</v>
      </c>
      <c r="AT41" s="282">
        <f>AS41*7</f>
        <v>350</v>
      </c>
      <c r="AU41" s="281">
        <v>200</v>
      </c>
      <c r="AV41" s="281">
        <v>200</v>
      </c>
      <c r="AW41" s="270">
        <f>Depl+Diesel/1000+Vann/1000</f>
        <v>16.799999999999997</v>
      </c>
      <c r="AX41" s="281"/>
      <c r="AY41" s="98">
        <f>Bredde/(Loa+Lwl)*2</f>
        <v>0.32158590308370044</v>
      </c>
      <c r="AZ41" s="98">
        <f>(Kjøl+Ballast)/Depl</f>
        <v>0.30487804878048785</v>
      </c>
      <c r="BA41" s="288">
        <f>BA$7*((Depl-Kjøl-Ballast-VektMotor/1000-VektAnnet/1000)/Loa/Lwl/Bredde)</f>
        <v>1.0225543416599159</v>
      </c>
      <c r="BB41" s="98">
        <f>BB$7*(Depl/Loa/Lwl/Lwl)</f>
        <v>0.91557426846282186</v>
      </c>
      <c r="BC41" s="178">
        <f>BC$7*(Depl/Loa/Lwl/Bredde)</f>
        <v>0.97355911008335216</v>
      </c>
      <c r="BD41" s="98">
        <f>BD$7*Bredde/(Loa+Lwl)*2</f>
        <v>0.91738430202264221</v>
      </c>
      <c r="BE41" s="98">
        <f>BE$7*(Dypg/Lwl)</f>
        <v>0.96368530020703935</v>
      </c>
      <c r="BF41" s="58" t="s">
        <v>42</v>
      </c>
      <c r="BG41" s="296">
        <v>3</v>
      </c>
      <c r="BH41" s="296">
        <v>46</v>
      </c>
      <c r="BI41" s="47">
        <f t="shared" si="464"/>
        <v>0.98613081682301351</v>
      </c>
      <c r="BJ41" s="61"/>
      <c r="BK41" s="61"/>
      <c r="BM41" s="214"/>
      <c r="BN41" s="214" t="str">
        <f>$A41</f>
        <v>Karuna</v>
      </c>
      <c r="BO41" s="10"/>
      <c r="BP41" s="10"/>
      <c r="BQ41" s="10"/>
      <c r="BR41" s="10"/>
      <c r="BS41" s="52"/>
      <c r="BT41" s="214" t="str">
        <f>$A41</f>
        <v>Karuna</v>
      </c>
      <c r="BU41" s="10"/>
      <c r="BV41" s="10"/>
      <c r="BW41" s="10"/>
      <c r="BX41" s="10"/>
      <c r="BY41" s="10"/>
      <c r="BZ41" s="10"/>
      <c r="CA41" s="10"/>
      <c r="CB41" s="10"/>
      <c r="CC41" s="10"/>
      <c r="CD41" s="214"/>
      <c r="CE41" s="10"/>
      <c r="CF41" s="214" t="str">
        <f>$A41</f>
        <v>Karuna</v>
      </c>
      <c r="CG41" s="212"/>
      <c r="CH41" s="212"/>
      <c r="CI41" s="119"/>
      <c r="CJ41" s="212"/>
      <c r="CK41" s="208"/>
      <c r="CL41" s="208" t="s">
        <v>26</v>
      </c>
      <c r="CM41" s="110" t="str">
        <f t="shared" si="234"/>
        <v>-</v>
      </c>
      <c r="CN41" s="64" t="str">
        <f>IF(SeilBeregnet=0,"-",(SeilBeregnet)^(1/2)*StHfaktor/(Depl+DeplTillegg/1000+Vann/1000+Diesel/1000*0.84)^(1/3))</f>
        <v>-</v>
      </c>
      <c r="CO41" s="64" t="str">
        <f t="shared" si="203"/>
        <v>-</v>
      </c>
      <c r="CP41" s="64" t="str">
        <f t="shared" si="204"/>
        <v>-</v>
      </c>
      <c r="CQ41" s="110" t="str">
        <f t="shared" si="205"/>
        <v>-</v>
      </c>
      <c r="CR41" s="172" t="str">
        <f t="shared" si="390"/>
        <v>-</v>
      </c>
      <c r="CS41" s="162"/>
      <c r="CT41" s="172" t="str">
        <f t="shared" si="391"/>
        <v>-</v>
      </c>
      <c r="CU41" s="164">
        <v>1.19</v>
      </c>
      <c r="CV41" s="195" t="s">
        <v>145</v>
      </c>
      <c r="CW41" s="30" t="s">
        <v>26</v>
      </c>
      <c r="CX41" s="30" t="s">
        <v>26</v>
      </c>
      <c r="CY41" s="30" t="s">
        <v>26</v>
      </c>
      <c r="CZ41" s="153">
        <v>2022</v>
      </c>
      <c r="DA41" s="64" t="str">
        <f t="shared" si="392"/>
        <v>-</v>
      </c>
      <c r="DB41" s="49">
        <f t="shared" si="393"/>
        <v>12.211221122112212</v>
      </c>
      <c r="DC41" s="50">
        <f t="shared" si="394"/>
        <v>0</v>
      </c>
      <c r="DE41" s="110" t="str">
        <f>IF(SeilBeregnet=0,"-",DE$7*(DG:DG+DE$6)*DL:DL*PropF+ErfaringsF+Dyp_F)</f>
        <v>-</v>
      </c>
      <c r="DF41" s="144" t="str">
        <f t="shared" si="446"/>
        <v>-</v>
      </c>
      <c r="DG41" s="110">
        <f t="shared" si="395"/>
        <v>4.3791348162559061</v>
      </c>
      <c r="DH41" s="136">
        <f t="shared" si="409"/>
        <v>2.6763699223190867</v>
      </c>
      <c r="DI41" s="136">
        <f t="shared" si="410"/>
        <v>0</v>
      </c>
      <c r="DJ41" s="136">
        <f t="shared" si="411"/>
        <v>0</v>
      </c>
      <c r="DK41" s="136">
        <f t="shared" si="412"/>
        <v>1.7027648939368196</v>
      </c>
      <c r="DL41" s="110">
        <f t="shared" si="413"/>
        <v>1.703950183600329</v>
      </c>
      <c r="DM41" s="136">
        <f t="shared" si="414"/>
        <v>1.9561519910898788</v>
      </c>
      <c r="DO41" s="110" t="str">
        <f t="shared" si="467"/>
        <v>-</v>
      </c>
      <c r="DP41" s="110" t="str">
        <f t="shared" si="396"/>
        <v>-</v>
      </c>
      <c r="DR41" s="110" t="str">
        <f t="shared" si="397"/>
        <v>-</v>
      </c>
      <c r="DS41" s="125" t="str">
        <f t="shared" si="447"/>
        <v>-</v>
      </c>
      <c r="DT41" s="110" t="str">
        <f t="shared" si="398"/>
        <v>-</v>
      </c>
      <c r="DU41" s="125" t="str">
        <f t="shared" si="448"/>
        <v>-</v>
      </c>
      <c r="DV41" s="110">
        <f t="shared" si="415"/>
        <v>2.6761883290381259</v>
      </c>
      <c r="DW41" s="110">
        <f t="shared" si="416"/>
        <v>2.0350652130627531</v>
      </c>
      <c r="DX41" s="110">
        <f t="shared" si="417"/>
        <v>1.5239386793362142</v>
      </c>
      <c r="DZ41" s="110" t="str">
        <f t="shared" si="399"/>
        <v>-</v>
      </c>
      <c r="EB41" s="110">
        <f t="shared" si="418"/>
        <v>2.6761883290381259</v>
      </c>
      <c r="EC41" s="110">
        <f t="shared" si="419"/>
        <v>2.0351953675882153</v>
      </c>
      <c r="ED41" s="110">
        <f t="shared" si="420"/>
        <v>1.7536069598143333</v>
      </c>
      <c r="EE41" s="110" t="str">
        <f t="shared" si="400"/>
        <v>-</v>
      </c>
      <c r="EG41" s="110">
        <f t="shared" si="421"/>
        <v>4.0783469078093511</v>
      </c>
      <c r="EH41" s="110">
        <f t="shared" si="422"/>
        <v>2.6761883290381259</v>
      </c>
      <c r="EI41" s="110">
        <f t="shared" si="423"/>
        <v>1.5239386793362142</v>
      </c>
      <c r="EJ41" s="110">
        <f t="shared" si="424"/>
        <v>1.703950183600329</v>
      </c>
      <c r="EK41" s="110" t="str">
        <f>IF(SeilBeregnet=0,"-",EK$7*(EK$4*EM:EM+EK$6)*EP:EP*PropF+ErfaringsF+Dyp_F)</f>
        <v>-</v>
      </c>
      <c r="EM41" s="110">
        <f>IF(SeilBeregnet=0,EM40,(EN:EN*EO:EO)^EM$3)</f>
        <v>1.6142588495866743</v>
      </c>
      <c r="EN41" s="110">
        <f t="shared" si="425"/>
        <v>2.6761883290381259</v>
      </c>
      <c r="EO41" s="110">
        <f t="shared" si="426"/>
        <v>0.97371011045604539</v>
      </c>
      <c r="EP41" s="110">
        <f t="shared" si="427"/>
        <v>1.7243497072538914</v>
      </c>
      <c r="EQ41" s="110" t="str">
        <f>IF(SeilBeregnet=0,"-",EQ$7*(ES:ES+EQ$6)*EV:EV*PropF+ErfaringsF+Dyp_F)</f>
        <v>-</v>
      </c>
      <c r="ES41" s="110">
        <f>(ET:ET*EU:EU)^ES$3</f>
        <v>1.6143136165821546</v>
      </c>
      <c r="ET41" s="110">
        <f t="shared" si="428"/>
        <v>2.6763699223190867</v>
      </c>
      <c r="EU41" s="110">
        <f t="shared" si="429"/>
        <v>0.97371011045604539</v>
      </c>
      <c r="EV41" s="110">
        <f t="shared" si="430"/>
        <v>1.7243497072538914</v>
      </c>
      <c r="EW41" s="110" t="str">
        <f>IF(SeilBeregnet=0,"-",EW$7*(EY:EY+EW$6)*FB:FB*PropF+ErfaringsF+Dyp_F)</f>
        <v>-</v>
      </c>
      <c r="EX41" s="144" t="str">
        <f t="shared" si="449"/>
        <v>-</v>
      </c>
      <c r="EY41" s="110">
        <f>(EZ:EZ*FA:FA)^EY$3</f>
        <v>2.5374967783109192</v>
      </c>
      <c r="EZ41" s="136">
        <f t="shared" si="431"/>
        <v>2.6763699223190867</v>
      </c>
      <c r="FA41" s="136">
        <f t="shared" si="432"/>
        <v>0.9481113792043242</v>
      </c>
      <c r="FB41" s="110">
        <f t="shared" si="433"/>
        <v>0.9696730994687438</v>
      </c>
      <c r="FC41" s="110" t="str">
        <f>IF(SeilBeregnet=0,"-",FC$7*(FE:FE+FC$6)*FI:FI*PropF+ErfaringsF+Dyp_F)</f>
        <v>-</v>
      </c>
      <c r="FD41" s="144" t="str">
        <f t="shared" si="450"/>
        <v>-</v>
      </c>
      <c r="FE41" s="110">
        <f>(FF:FF+FG:FG+FH:FH)^FE$3+FE$7</f>
        <v>4.5538330416679997</v>
      </c>
      <c r="FF41" s="136">
        <f t="shared" si="434"/>
        <v>2.6763699223190867</v>
      </c>
      <c r="FG41" s="136">
        <f t="shared" si="435"/>
        <v>0.67469822541209357</v>
      </c>
      <c r="FH41" s="136">
        <f t="shared" si="436"/>
        <v>1.7027648939368196</v>
      </c>
      <c r="FI41" s="110">
        <f t="shared" si="437"/>
        <v>1.703950183600329</v>
      </c>
      <c r="FJ41" s="110" t="str">
        <f>IF(SeilBeregnet=0,"-",FJ$7*(FL:FL+FJ$6)*FO:FO*PropF+ErfaringsF+Dyp_F)</f>
        <v>-</v>
      </c>
      <c r="FK41" s="144" t="str">
        <f t="shared" si="451"/>
        <v>-</v>
      </c>
      <c r="FL41" s="110">
        <f>(FM:FM*FN:FN)^FL$3</f>
        <v>4.5572287469133537</v>
      </c>
      <c r="FM41" s="136">
        <f t="shared" si="438"/>
        <v>2.6763699223190867</v>
      </c>
      <c r="FN41" s="136">
        <f t="shared" si="439"/>
        <v>1.7027648939368196</v>
      </c>
      <c r="FO41" s="110">
        <f t="shared" si="440"/>
        <v>1.703950183600329</v>
      </c>
      <c r="FQ41">
        <v>0.95</v>
      </c>
      <c r="FR41" s="64" t="str">
        <f t="shared" si="452"/>
        <v>-</v>
      </c>
      <c r="FS41" s="480" t="s">
        <v>493</v>
      </c>
      <c r="FT41" s="59" t="s">
        <v>543</v>
      </c>
      <c r="FU41" s="475" t="s">
        <v>544</v>
      </c>
      <c r="FV41" s="506" t="s">
        <v>545</v>
      </c>
      <c r="FW41" s="59" t="s">
        <v>546</v>
      </c>
      <c r="FX41" s="59" t="s">
        <v>547</v>
      </c>
      <c r="FY41" s="59" t="s">
        <v>455</v>
      </c>
      <c r="FZ41" s="59" t="s">
        <v>548</v>
      </c>
      <c r="GB41" s="59" t="s">
        <v>789</v>
      </c>
      <c r="GC41" s="475" t="s">
        <v>522</v>
      </c>
      <c r="GD41" s="60" t="s">
        <v>522</v>
      </c>
      <c r="GE41" s="60" t="s">
        <v>522</v>
      </c>
      <c r="GF41" s="60" t="s">
        <v>522</v>
      </c>
      <c r="GG41" s="60" t="s">
        <v>522</v>
      </c>
      <c r="GI41" s="59" t="s">
        <v>514</v>
      </c>
      <c r="GJ41" s="59" t="s">
        <v>549</v>
      </c>
      <c r="GK41" s="59" t="s">
        <v>639</v>
      </c>
      <c r="GL41" s="59" t="s">
        <v>550</v>
      </c>
      <c r="GM41" s="59">
        <v>1998</v>
      </c>
      <c r="GN41" s="59" t="s">
        <v>470</v>
      </c>
      <c r="GO41" s="59" t="s">
        <v>477</v>
      </c>
      <c r="GP41" s="59" t="s">
        <v>522</v>
      </c>
    </row>
    <row r="42" spans="1:198" ht="15.6" x14ac:dyDescent="0.3">
      <c r="A42" s="62" t="s">
        <v>31</v>
      </c>
      <c r="B42" s="223"/>
      <c r="C42" s="63" t="str">
        <f>C41</f>
        <v>Gaffel</v>
      </c>
      <c r="D42" s="63"/>
      <c r="E42" s="63"/>
      <c r="F42" s="63"/>
      <c r="G42" s="56"/>
      <c r="H42" s="209">
        <f>TBFavrundet</f>
        <v>98</v>
      </c>
      <c r="I42" s="65">
        <f>COUNTA(O42:AD42)</f>
        <v>4</v>
      </c>
      <c r="J42" s="228">
        <f>SUM(O42:AD42)</f>
        <v>103.6</v>
      </c>
      <c r="K42" s="119">
        <f>Seilareal/Depl^0.667/K$7</f>
        <v>1.4660955303264134</v>
      </c>
      <c r="L42" s="119">
        <f>Seilareal/Lwl/Lwl/L$7</f>
        <v>1.4257984263951662</v>
      </c>
      <c r="M42" s="95">
        <f>RiggF</f>
        <v>0.79594594594594592</v>
      </c>
      <c r="N42" s="265">
        <f>StHfaktor</f>
        <v>0.99759896686135863</v>
      </c>
      <c r="O42" s="147"/>
      <c r="P42" s="147"/>
      <c r="Q42" s="169">
        <v>24.7</v>
      </c>
      <c r="R42" s="147"/>
      <c r="S42" s="147"/>
      <c r="T42" s="169">
        <v>17.600000000000001</v>
      </c>
      <c r="U42" s="169">
        <v>49.3</v>
      </c>
      <c r="V42" s="148"/>
      <c r="W42" s="148"/>
      <c r="X42" s="148"/>
      <c r="Y42" s="169">
        <v>12</v>
      </c>
      <c r="Z42" s="147"/>
      <c r="AA42" s="147"/>
      <c r="AB42" s="147"/>
      <c r="AC42" s="147"/>
      <c r="AD42" s="147"/>
      <c r="AE42" s="260">
        <f>AE41</f>
        <v>10.3</v>
      </c>
      <c r="AF42" s="375">
        <f t="shared" ref="AF42:AH46" si="507" xml:space="preserve"> AF41</f>
        <v>0</v>
      </c>
      <c r="AG42" s="377"/>
      <c r="AH42" s="375">
        <f t="shared" si="507"/>
        <v>0</v>
      </c>
      <c r="AI42" s="377"/>
      <c r="AJ42" s="295" t="str">
        <f t="shared" ref="AJ42" si="508" xml:space="preserve"> AJ41</f>
        <v>Lystb</v>
      </c>
      <c r="AK42" s="47">
        <f>VLOOKUP(AJ42,Skrogform!$1:$1048576,3,FALSE)</f>
        <v>0.98</v>
      </c>
      <c r="AL42" s="66">
        <f>AL41</f>
        <v>12.2</v>
      </c>
      <c r="AM42" s="66">
        <f t="shared" ref="AM42:AT42" si="509">AM41</f>
        <v>10.5</v>
      </c>
      <c r="AN42" s="66">
        <f t="shared" si="509"/>
        <v>3.65</v>
      </c>
      <c r="AO42" s="66">
        <f t="shared" si="509"/>
        <v>1.85</v>
      </c>
      <c r="AP42" s="66">
        <f t="shared" si="509"/>
        <v>16.399999999999999</v>
      </c>
      <c r="AQ42" s="66">
        <f t="shared" si="509"/>
        <v>2.5</v>
      </c>
      <c r="AR42" s="66">
        <f t="shared" si="509"/>
        <v>2.5</v>
      </c>
      <c r="AS42" s="284">
        <f t="shared" si="509"/>
        <v>50</v>
      </c>
      <c r="AT42" s="284">
        <f t="shared" si="509"/>
        <v>350</v>
      </c>
      <c r="AU42" s="284">
        <f t="shared" ref="AU42:AV42" si="510">AU41</f>
        <v>200</v>
      </c>
      <c r="AV42" s="284">
        <f t="shared" si="510"/>
        <v>200</v>
      </c>
      <c r="AW42" s="284"/>
      <c r="AX42" s="284">
        <f>AX41</f>
        <v>0</v>
      </c>
      <c r="AY42" s="68"/>
      <c r="AZ42" s="68"/>
      <c r="BA42" s="289"/>
      <c r="BB42" s="68"/>
      <c r="BC42" s="179"/>
      <c r="BD42" s="68"/>
      <c r="BE42" s="68"/>
      <c r="BF42" s="67" t="str">
        <f t="shared" ref="BF42:BH42" si="511" xml:space="preserve"> BF41</f>
        <v>Fast</v>
      </c>
      <c r="BG42" s="295">
        <f t="shared" si="511"/>
        <v>3</v>
      </c>
      <c r="BH42" s="295">
        <f t="shared" si="511"/>
        <v>46</v>
      </c>
      <c r="BI42" s="47">
        <f t="shared" si="464"/>
        <v>0.98613081682301351</v>
      </c>
      <c r="BJ42" s="61"/>
      <c r="BK42" s="61"/>
      <c r="BM42" s="51">
        <f t="shared" ref="BM42:BR46" si="512">IF(O42=0,0,O42*BM$9)</f>
        <v>0</v>
      </c>
      <c r="BN42" s="51">
        <f t="shared" si="512"/>
        <v>0</v>
      </c>
      <c r="BO42" s="51">
        <f t="shared" si="512"/>
        <v>24.7</v>
      </c>
      <c r="BP42" s="51">
        <f t="shared" si="512"/>
        <v>0</v>
      </c>
      <c r="BQ42" s="51">
        <f t="shared" si="512"/>
        <v>0</v>
      </c>
      <c r="BR42" s="51">
        <f t="shared" si="512"/>
        <v>17.600000000000001</v>
      </c>
      <c r="BS42" s="52">
        <f>IF(COUNT(P42:T42)&gt;1,MINA(P42:T42)*BS$9,0)</f>
        <v>-5.28</v>
      </c>
      <c r="BT42" s="88">
        <f t="shared" ref="BT42:CC46" si="513">IF(U42=0,0,U42*BT$9)</f>
        <v>39.44</v>
      </c>
      <c r="BU42" s="88">
        <f t="shared" si="513"/>
        <v>0</v>
      </c>
      <c r="BV42" s="88">
        <f t="shared" si="513"/>
        <v>0</v>
      </c>
      <c r="BW42" s="88">
        <f t="shared" si="513"/>
        <v>0</v>
      </c>
      <c r="BX42" s="88">
        <f t="shared" si="513"/>
        <v>6</v>
      </c>
      <c r="BY42" s="88">
        <f t="shared" si="513"/>
        <v>0</v>
      </c>
      <c r="BZ42" s="88">
        <f t="shared" si="513"/>
        <v>0</v>
      </c>
      <c r="CA42" s="88">
        <f t="shared" si="513"/>
        <v>0</v>
      </c>
      <c r="CB42" s="88">
        <f t="shared" si="513"/>
        <v>0</v>
      </c>
      <c r="CC42" s="88">
        <f t="shared" si="513"/>
        <v>0</v>
      </c>
      <c r="CD42" s="103">
        <f>SUM(BM42:CC42)</f>
        <v>82.46</v>
      </c>
      <c r="CE42" s="52"/>
      <c r="CF42" s="107">
        <f>J42</f>
        <v>103.6</v>
      </c>
      <c r="CG42" s="104">
        <f>CD42/CF42</f>
        <v>0.79594594594594592</v>
      </c>
      <c r="CH42" s="53">
        <f>Seilareal/Lwl/Lwl</f>
        <v>0.93968253968253956</v>
      </c>
      <c r="CI42" s="119">
        <f>Seilareal/Depl^0.667/K$7</f>
        <v>1.4660955303264134</v>
      </c>
      <c r="CJ42" s="53">
        <f>Seilareal/Lwl/Lwl/SApRS1</f>
        <v>1.4257984263951662</v>
      </c>
      <c r="CK42" s="209"/>
      <c r="CL42" s="209">
        <f>(ROUND(TBF/CL$6,3)*CL$6)*CL$4</f>
        <v>98</v>
      </c>
      <c r="CM42" s="110">
        <f t="shared" si="234"/>
        <v>0.97985049956206538</v>
      </c>
      <c r="CN42" s="64">
        <f>IF(SeilBeregnet=0,"-",(SeilBeregnet)^(1/2)*StHfaktor/(Depl+DeplTillegg/1000+Vann/1000+Diesel/1000*0.84)^(1/3))</f>
        <v>3.5253380685749751</v>
      </c>
      <c r="CO42" s="64">
        <f t="shared" si="203"/>
        <v>1.7634026882977951</v>
      </c>
      <c r="CP42" s="64">
        <f t="shared" si="204"/>
        <v>1.800102871839254</v>
      </c>
      <c r="CQ42" s="110">
        <f t="shared" si="205"/>
        <v>0.99759896686135863</v>
      </c>
      <c r="CR42" s="172" t="str">
        <f t="shared" si="390"/>
        <v>-</v>
      </c>
      <c r="CS42" s="163">
        <f>CS41</f>
        <v>0</v>
      </c>
      <c r="CT42" s="172">
        <f t="shared" si="391"/>
        <v>0.91859649122807019</v>
      </c>
      <c r="CU42" s="163">
        <f>CU41</f>
        <v>1.19</v>
      </c>
      <c r="CV42" s="195" t="s">
        <v>145</v>
      </c>
      <c r="CW42" s="64">
        <v>0.91</v>
      </c>
      <c r="CX42" s="64">
        <v>0.89</v>
      </c>
      <c r="CY42" s="64">
        <v>0.93</v>
      </c>
      <c r="CZ42" s="154">
        <v>0.97</v>
      </c>
      <c r="DA42" s="64">
        <f t="shared" si="392"/>
        <v>2.0040735049398686</v>
      </c>
      <c r="DB42" s="49">
        <f t="shared" si="393"/>
        <v>12.211221122112212</v>
      </c>
      <c r="DC42" s="50">
        <f t="shared" si="394"/>
        <v>0</v>
      </c>
      <c r="DE42" s="110">
        <f>IF(SeilBeregnet=0,"-",DE$7*(DG:DG+DE$6)*DL:DL*PropF+ErfaringsF+Dyp_F)</f>
        <v>0.96864952418286432</v>
      </c>
      <c r="DF42" s="144">
        <f t="shared" si="446"/>
        <v>-3.1197924349855577</v>
      </c>
      <c r="DG42" s="110">
        <f t="shared" si="395"/>
        <v>5.4027321866233491</v>
      </c>
      <c r="DH42" s="136">
        <f t="shared" si="409"/>
        <v>3.5744910227107054</v>
      </c>
      <c r="DI42" s="136">
        <f t="shared" si="410"/>
        <v>0</v>
      </c>
      <c r="DJ42" s="136">
        <f t="shared" si="411"/>
        <v>0</v>
      </c>
      <c r="DK42" s="136">
        <f t="shared" si="412"/>
        <v>1.8282411639126435</v>
      </c>
      <c r="DL42" s="110">
        <f t="shared" si="413"/>
        <v>1.800102871839254</v>
      </c>
      <c r="DM42" s="136">
        <f t="shared" si="414"/>
        <v>1.9470448393802795</v>
      </c>
      <c r="DO42" s="110">
        <f t="shared" si="467"/>
        <v>0.9998474485327199</v>
      </c>
      <c r="DP42" s="110">
        <f t="shared" si="396"/>
        <v>0.99033576613509722</v>
      </c>
      <c r="DQ42" s="125">
        <f>DP42-DO42</f>
        <v>-9.5116823976226783E-3</v>
      </c>
      <c r="DR42" s="110">
        <f t="shared" si="397"/>
        <v>0.97807377765770509</v>
      </c>
      <c r="DS42" s="125">
        <f t="shared" si="447"/>
        <v>-2.1773670875014806E-2</v>
      </c>
      <c r="DT42" s="110">
        <f t="shared" si="398"/>
        <v>0.98934034879848454</v>
      </c>
      <c r="DU42" s="125">
        <f t="shared" si="448"/>
        <v>-1.0507099734235359E-2</v>
      </c>
      <c r="DV42" s="110">
        <f t="shared" si="415"/>
        <v>3.5741910695861003</v>
      </c>
      <c r="DW42" s="110">
        <f t="shared" si="416"/>
        <v>2.1895879451208748</v>
      </c>
      <c r="DX42" s="110">
        <f t="shared" si="417"/>
        <v>1.579185865474966</v>
      </c>
      <c r="DZ42" s="110">
        <f t="shared" si="399"/>
        <v>0.98316484192803966</v>
      </c>
      <c r="EB42" s="110">
        <f t="shared" si="418"/>
        <v>3.5741910695861003</v>
      </c>
      <c r="EC42" s="110">
        <f t="shared" si="419"/>
        <v>2.1897424068563001</v>
      </c>
      <c r="ED42" s="110">
        <f t="shared" si="420"/>
        <v>1.8388707573234102</v>
      </c>
      <c r="EE42" s="110">
        <f t="shared" si="400"/>
        <v>0.97693008005379345</v>
      </c>
      <c r="EG42" s="110">
        <f t="shared" si="421"/>
        <v>5.6443120175972199</v>
      </c>
      <c r="EH42" s="110">
        <f t="shared" si="422"/>
        <v>3.5741910695861003</v>
      </c>
      <c r="EI42" s="110">
        <f t="shared" si="423"/>
        <v>1.579185865474966</v>
      </c>
      <c r="EJ42" s="110">
        <f t="shared" si="424"/>
        <v>1.800102871839254</v>
      </c>
      <c r="EK42" s="110">
        <f>IF(SeilBeregnet=0,"-",EK$7*(EK$4*EM:EM+EK$6)*EP:EP*PropF+ErfaringsF+Dyp_F)</f>
        <v>0.97575606779322199</v>
      </c>
      <c r="EM42" s="110">
        <f>IF(SeilBeregnet=0,EM41,(EN:EN*EO:EO)^EM$3)</f>
        <v>1.8990508792178553</v>
      </c>
      <c r="EN42" s="110">
        <f t="shared" si="425"/>
        <v>3.5741910695861003</v>
      </c>
      <c r="EO42" s="110">
        <f t="shared" si="426"/>
        <v>1.0090099190684112</v>
      </c>
      <c r="EP42" s="110">
        <f t="shared" si="427"/>
        <v>1.8215740458755476</v>
      </c>
      <c r="EQ42" s="110">
        <f>IF(SeilBeregnet=0,"-",EQ$7*(ES:ES+EQ$6)*EV:EV*PropF+ErfaringsF+Dyp_F)</f>
        <v>0.93349962193821978</v>
      </c>
      <c r="ES42" s="110">
        <f>(ET:ET*EU:EU)^ES$3</f>
        <v>1.8991305635832654</v>
      </c>
      <c r="ET42" s="110">
        <f t="shared" si="428"/>
        <v>3.5744910227107054</v>
      </c>
      <c r="EU42" s="110">
        <f t="shared" si="429"/>
        <v>1.0090099190684112</v>
      </c>
      <c r="EV42" s="110">
        <f t="shared" si="430"/>
        <v>1.8215740458755476</v>
      </c>
      <c r="EW42" s="110">
        <f>IF(SeilBeregnet=0,"-",EW$7*(EY:EY+EW$6)*FB:FB*PropF+ErfaringsF+Dyp_F)</f>
        <v>0.97407954859644663</v>
      </c>
      <c r="EX42" s="144">
        <f t="shared" si="449"/>
        <v>-2.5767899936273264</v>
      </c>
      <c r="EY42" s="110">
        <f>(EZ:EZ*FA:FA)^EY$3</f>
        <v>3.6391929446871809</v>
      </c>
      <c r="EZ42" s="136">
        <f t="shared" si="431"/>
        <v>3.5744910227107054</v>
      </c>
      <c r="FA42" s="136">
        <f t="shared" si="432"/>
        <v>1.0181010167784417</v>
      </c>
      <c r="FB42" s="110">
        <f t="shared" si="433"/>
        <v>1.0243463628900011</v>
      </c>
      <c r="FC42" s="110">
        <f>IF(SeilBeregnet=0,"-",FC$7*(FE:FE+FC$6)*FI:FI*PropF+ErfaringsF+Dyp_F)</f>
        <v>0.98286895438968624</v>
      </c>
      <c r="FD42" s="144">
        <f t="shared" si="450"/>
        <v>-1.6978494143033651</v>
      </c>
      <c r="FE42" s="110">
        <f>(FF:FF+FG:FG+FH:FH)^FE$3+FE$7</f>
        <v>5.7675654121278432</v>
      </c>
      <c r="FF42" s="136">
        <f t="shared" si="434"/>
        <v>3.5744910227107054</v>
      </c>
      <c r="FG42" s="136">
        <f t="shared" si="435"/>
        <v>0.86483322550449448</v>
      </c>
      <c r="FH42" s="136">
        <f t="shared" si="436"/>
        <v>1.8282411639126435</v>
      </c>
      <c r="FI42" s="110">
        <f t="shared" si="437"/>
        <v>1.800102871839254</v>
      </c>
      <c r="FJ42" s="110">
        <f>IF(SeilBeregnet=0,"-",FJ$7*(FL:FL+FJ$6)*FO:FO*PropF+ErfaringsF+Dyp_F)</f>
        <v>0.97245842444629915</v>
      </c>
      <c r="FK42" s="144">
        <f t="shared" si="451"/>
        <v>-2.7389024086420743</v>
      </c>
      <c r="FL42" s="110">
        <f>(FM:FM*FN:FN)^FL$3</f>
        <v>6.5350316277559157</v>
      </c>
      <c r="FM42" s="136">
        <f t="shared" si="438"/>
        <v>3.5744910227107054</v>
      </c>
      <c r="FN42" s="136">
        <f t="shared" si="439"/>
        <v>1.8282411639126435</v>
      </c>
      <c r="FO42" s="110">
        <f t="shared" si="440"/>
        <v>1.800102871839254</v>
      </c>
      <c r="FQ42">
        <v>0.95</v>
      </c>
      <c r="FR42" s="64">
        <f t="shared" si="452"/>
        <v>1.1755193634749577</v>
      </c>
      <c r="FS42" s="479"/>
      <c r="FT42" s="18"/>
      <c r="FU42" s="481"/>
      <c r="FV42" s="504"/>
      <c r="FW42" s="18"/>
      <c r="FX42" s="18"/>
      <c r="FY42" s="18"/>
      <c r="FZ42" s="18"/>
      <c r="GB42" s="18"/>
      <c r="GC42" s="481"/>
      <c r="GD42" s="8"/>
      <c r="GE42" s="8"/>
      <c r="GF42" s="8"/>
      <c r="GG42" s="8"/>
      <c r="GI42" s="18"/>
      <c r="GJ42" s="18"/>
      <c r="GK42" s="18"/>
      <c r="GL42" s="18"/>
      <c r="GM42" s="18"/>
      <c r="GN42" s="18"/>
      <c r="GO42" s="18"/>
      <c r="GP42" s="18"/>
    </row>
    <row r="43" spans="1:198" ht="15.6" x14ac:dyDescent="0.3">
      <c r="A43" s="62" t="s">
        <v>32</v>
      </c>
      <c r="B43" s="223"/>
      <c r="C43" s="14" t="str">
        <f>C41</f>
        <v>Gaffel</v>
      </c>
      <c r="G43" s="56"/>
      <c r="H43" s="209">
        <f>TBFavrundet</f>
        <v>95.5</v>
      </c>
      <c r="I43" s="65">
        <f>COUNTA(O43:AD43)</f>
        <v>3</v>
      </c>
      <c r="J43" s="228">
        <f>SUM(O43:AD43)</f>
        <v>91.6</v>
      </c>
      <c r="K43" s="119">
        <f>Seilareal/Depl^0.667/K$7</f>
        <v>1.2962775152306898</v>
      </c>
      <c r="L43" s="119">
        <f>Seilareal/Lwl/Lwl/L$7</f>
        <v>1.2606480295154172</v>
      </c>
      <c r="M43" s="95">
        <f>RiggF</f>
        <v>0.83471615720524017</v>
      </c>
      <c r="N43" s="265">
        <f>StHfaktor</f>
        <v>0.99759896686135863</v>
      </c>
      <c r="O43" s="147"/>
      <c r="P43" s="147"/>
      <c r="Q43" s="169">
        <v>24.7</v>
      </c>
      <c r="R43" s="147"/>
      <c r="S43" s="147"/>
      <c r="T43" s="169">
        <v>17.600000000000001</v>
      </c>
      <c r="U43" s="169">
        <v>49.3</v>
      </c>
      <c r="V43" s="148"/>
      <c r="W43" s="148"/>
      <c r="X43" s="148"/>
      <c r="Y43" s="147"/>
      <c r="Z43" s="147"/>
      <c r="AA43" s="147"/>
      <c r="AB43" s="147"/>
      <c r="AC43" s="147"/>
      <c r="AD43" s="147"/>
      <c r="AE43" s="260">
        <f t="shared" ref="AE43:AE46" si="514">AE42</f>
        <v>10.3</v>
      </c>
      <c r="AF43" s="375">
        <f t="shared" si="507"/>
        <v>0</v>
      </c>
      <c r="AG43" s="377"/>
      <c r="AH43" s="375">
        <f t="shared" si="507"/>
        <v>0</v>
      </c>
      <c r="AI43" s="377"/>
      <c r="AJ43" s="295" t="str">
        <f t="shared" ref="AJ43" si="515" xml:space="preserve"> AJ42</f>
        <v>Lystb</v>
      </c>
      <c r="AK43" s="47">
        <f>VLOOKUP(AJ43,Skrogform!$1:$1048576,3,FALSE)</f>
        <v>0.98</v>
      </c>
      <c r="AL43" s="66">
        <f t="shared" ref="AL43:AT46" si="516">AL42</f>
        <v>12.2</v>
      </c>
      <c r="AM43" s="66">
        <f t="shared" si="516"/>
        <v>10.5</v>
      </c>
      <c r="AN43" s="66">
        <f t="shared" si="516"/>
        <v>3.65</v>
      </c>
      <c r="AO43" s="66">
        <f t="shared" si="516"/>
        <v>1.85</v>
      </c>
      <c r="AP43" s="66">
        <f t="shared" si="516"/>
        <v>16.399999999999999</v>
      </c>
      <c r="AQ43" s="66">
        <f t="shared" si="516"/>
        <v>2.5</v>
      </c>
      <c r="AR43" s="66">
        <f t="shared" si="516"/>
        <v>2.5</v>
      </c>
      <c r="AS43" s="284">
        <f t="shared" si="516"/>
        <v>50</v>
      </c>
      <c r="AT43" s="284">
        <f t="shared" si="516"/>
        <v>350</v>
      </c>
      <c r="AU43" s="284">
        <f t="shared" ref="AU43:AV43" si="517">AU42</f>
        <v>200</v>
      </c>
      <c r="AV43" s="284">
        <f t="shared" si="517"/>
        <v>200</v>
      </c>
      <c r="AW43" s="284"/>
      <c r="AX43" s="284">
        <f>AX42</f>
        <v>0</v>
      </c>
      <c r="AY43" s="68"/>
      <c r="AZ43" s="68"/>
      <c r="BA43" s="289"/>
      <c r="BB43" s="68"/>
      <c r="BC43" s="179"/>
      <c r="BD43" s="68"/>
      <c r="BE43" s="68"/>
      <c r="BF43" s="67" t="str">
        <f t="shared" ref="BF43:BH43" si="518" xml:space="preserve"> BF42</f>
        <v>Fast</v>
      </c>
      <c r="BG43" s="295">
        <f t="shared" si="518"/>
        <v>3</v>
      </c>
      <c r="BH43" s="295">
        <f t="shared" si="518"/>
        <v>46</v>
      </c>
      <c r="BI43" s="47">
        <f t="shared" si="464"/>
        <v>0.98613081682301351</v>
      </c>
      <c r="BJ43" s="61"/>
      <c r="BK43" s="61"/>
      <c r="BM43" s="51">
        <f t="shared" si="512"/>
        <v>0</v>
      </c>
      <c r="BN43" s="51">
        <f t="shared" si="512"/>
        <v>0</v>
      </c>
      <c r="BO43" s="51">
        <f t="shared" si="512"/>
        <v>24.7</v>
      </c>
      <c r="BP43" s="51">
        <f t="shared" si="512"/>
        <v>0</v>
      </c>
      <c r="BQ43" s="51">
        <f t="shared" si="512"/>
        <v>0</v>
      </c>
      <c r="BR43" s="51">
        <f t="shared" si="512"/>
        <v>17.600000000000001</v>
      </c>
      <c r="BS43" s="52">
        <f>IF(COUNT(P43:T43)&gt;1,MINA(P43:T43)*BS$9,0)</f>
        <v>-5.28</v>
      </c>
      <c r="BT43" s="88">
        <f t="shared" si="513"/>
        <v>39.44</v>
      </c>
      <c r="BU43" s="88">
        <f t="shared" si="513"/>
        <v>0</v>
      </c>
      <c r="BV43" s="88">
        <f t="shared" si="513"/>
        <v>0</v>
      </c>
      <c r="BW43" s="88">
        <f t="shared" si="513"/>
        <v>0</v>
      </c>
      <c r="BX43" s="88">
        <f t="shared" si="513"/>
        <v>0</v>
      </c>
      <c r="BY43" s="88">
        <f t="shared" si="513"/>
        <v>0</v>
      </c>
      <c r="BZ43" s="88">
        <f t="shared" si="513"/>
        <v>0</v>
      </c>
      <c r="CA43" s="88">
        <f t="shared" si="513"/>
        <v>0</v>
      </c>
      <c r="CB43" s="88">
        <f t="shared" si="513"/>
        <v>0</v>
      </c>
      <c r="CC43" s="88">
        <f t="shared" si="513"/>
        <v>0</v>
      </c>
      <c r="CD43" s="103">
        <f>SUM(BM43:CC43)</f>
        <v>76.459999999999994</v>
      </c>
      <c r="CE43" s="52"/>
      <c r="CF43" s="107">
        <f>J43</f>
        <v>91.6</v>
      </c>
      <c r="CG43" s="104">
        <f>CD43/CF43</f>
        <v>0.83471615720524017</v>
      </c>
      <c r="CH43" s="53">
        <f>Seilareal/Lwl/Lwl</f>
        <v>0.83083900226757357</v>
      </c>
      <c r="CI43" s="119">
        <f>Seilareal/Depl^0.667/K$7</f>
        <v>1.2962775152306898</v>
      </c>
      <c r="CJ43" s="53">
        <f>Seilareal/Lwl/Lwl/SApRS1</f>
        <v>1.2606480295154172</v>
      </c>
      <c r="CK43" s="209"/>
      <c r="CL43" s="209">
        <f>(ROUND(TBF/CL$6,3)*CL$6)*CL$4</f>
        <v>95.5</v>
      </c>
      <c r="CM43" s="110">
        <f t="shared" si="234"/>
        <v>0.95563959351985983</v>
      </c>
      <c r="CN43" s="64">
        <f>IF(SeilBeregnet=0,"-",(SeilBeregnet)^(1/2)*StHfaktor/(Depl+DeplTillegg/1000+Vann/1000+Diesel/1000*0.84)^(1/3))</f>
        <v>3.3946597604009647</v>
      </c>
      <c r="CO43" s="64">
        <f t="shared" si="203"/>
        <v>1.7634026882977951</v>
      </c>
      <c r="CP43" s="64">
        <f t="shared" si="204"/>
        <v>1.800102871839254</v>
      </c>
      <c r="CQ43" s="110">
        <f t="shared" si="205"/>
        <v>0.99759896686135863</v>
      </c>
      <c r="CR43" s="172" t="str">
        <f t="shared" si="390"/>
        <v>-</v>
      </c>
      <c r="CS43" s="162"/>
      <c r="CT43" s="172" t="str">
        <f t="shared" si="391"/>
        <v>-</v>
      </c>
      <c r="CU43" s="164"/>
      <c r="CV43" s="195" t="s">
        <v>145</v>
      </c>
      <c r="CW43" s="64">
        <v>0.88</v>
      </c>
      <c r="CX43" s="64">
        <v>0.87</v>
      </c>
      <c r="CY43" s="64">
        <v>0.91</v>
      </c>
      <c r="CZ43" s="154">
        <v>0.94</v>
      </c>
      <c r="DA43" s="64">
        <f t="shared" si="392"/>
        <v>2.0040735049398686</v>
      </c>
      <c r="DB43" s="49">
        <f t="shared" si="393"/>
        <v>12.211221122112212</v>
      </c>
      <c r="DC43" s="50">
        <f t="shared" si="394"/>
        <v>0</v>
      </c>
      <c r="DE43" s="110">
        <f>IF(SeilBeregnet=0,"-",DE$7*(DG:DG+DE$6)*DL:DL*PropF+ErfaringsF+Dyp_F)</f>
        <v>0.94489369616386132</v>
      </c>
      <c r="DF43" s="144" t="str">
        <f t="shared" si="446"/>
        <v>-</v>
      </c>
      <c r="DG43" s="110">
        <f t="shared" si="395"/>
        <v>5.2702318617339863</v>
      </c>
      <c r="DH43" s="136">
        <f t="shared" si="409"/>
        <v>3.4419906978213426</v>
      </c>
      <c r="DI43" s="136">
        <f t="shared" si="410"/>
        <v>0</v>
      </c>
      <c r="DJ43" s="136">
        <f t="shared" si="411"/>
        <v>0</v>
      </c>
      <c r="DK43" s="136">
        <f t="shared" si="412"/>
        <v>1.8282411639126435</v>
      </c>
      <c r="DL43" s="110">
        <f t="shared" si="413"/>
        <v>1.800102871839254</v>
      </c>
      <c r="DM43" s="136">
        <f t="shared" si="414"/>
        <v>1.9470448393802795</v>
      </c>
      <c r="DO43" s="110">
        <f t="shared" si="467"/>
        <v>0.97514244236720393</v>
      </c>
      <c r="DP43" s="110">
        <f t="shared" si="396"/>
        <v>0.96093970689884556</v>
      </c>
      <c r="DR43" s="110">
        <f t="shared" si="397"/>
        <v>0.95427049036406053</v>
      </c>
      <c r="DS43" s="125" t="str">
        <f t="shared" si="447"/>
        <v>-</v>
      </c>
      <c r="DT43" s="110">
        <f t="shared" si="398"/>
        <v>0.96102980618191725</v>
      </c>
      <c r="DU43" s="125" t="str">
        <f t="shared" si="448"/>
        <v>-</v>
      </c>
      <c r="DV43" s="110">
        <f t="shared" si="415"/>
        <v>3.441701863450767</v>
      </c>
      <c r="DW43" s="110">
        <f t="shared" si="416"/>
        <v>2.1895879451208748</v>
      </c>
      <c r="DX43" s="110">
        <f t="shared" si="417"/>
        <v>1.579185865474966</v>
      </c>
      <c r="DZ43" s="110">
        <f t="shared" si="399"/>
        <v>0.95754967567369487</v>
      </c>
      <c r="EB43" s="110">
        <f t="shared" si="418"/>
        <v>3.441701863450767</v>
      </c>
      <c r="EC43" s="110">
        <f t="shared" si="419"/>
        <v>2.1897424068563001</v>
      </c>
      <c r="ED43" s="110">
        <f t="shared" si="420"/>
        <v>1.8388707573234102</v>
      </c>
      <c r="EE43" s="110">
        <f t="shared" si="400"/>
        <v>0.95019147031339701</v>
      </c>
      <c r="EG43" s="110">
        <f t="shared" si="421"/>
        <v>5.4350869359403022</v>
      </c>
      <c r="EH43" s="110">
        <f t="shared" si="422"/>
        <v>3.441701863450767</v>
      </c>
      <c r="EI43" s="110">
        <f t="shared" si="423"/>
        <v>1.579185865474966</v>
      </c>
      <c r="EJ43" s="110">
        <f t="shared" si="424"/>
        <v>1.800102871839254</v>
      </c>
      <c r="EK43" s="110">
        <f>IF(SeilBeregnet=0,"-",EK$7*(EK$4*EM:EM+EK$6)*EP:EP*PropF+ErfaringsF+Dyp_F)</f>
        <v>0.95097620740563027</v>
      </c>
      <c r="EM43" s="110">
        <f>IF(SeilBeregnet=0,EM42,(EN:EN*EO:EO)^EM$3)</f>
        <v>1.8635212149847016</v>
      </c>
      <c r="EN43" s="110">
        <f t="shared" si="425"/>
        <v>3.441701863450767</v>
      </c>
      <c r="EO43" s="110">
        <f t="shared" si="426"/>
        <v>1.0090099190684112</v>
      </c>
      <c r="EP43" s="110">
        <f t="shared" si="427"/>
        <v>1.8215740458755476</v>
      </c>
      <c r="EQ43" s="110">
        <f>IF(SeilBeregnet=0,"-",EQ$7*(ES:ES+EQ$6)*EV:EV*PropF+ErfaringsF+Dyp_F)</f>
        <v>0.91603461955613474</v>
      </c>
      <c r="ES43" s="110">
        <f>(ET:ET*EU:EU)^ES$3</f>
        <v>1.8635994085218361</v>
      </c>
      <c r="ET43" s="110">
        <f t="shared" si="428"/>
        <v>3.4419906978213426</v>
      </c>
      <c r="EU43" s="110">
        <f t="shared" si="429"/>
        <v>1.0090099190684112</v>
      </c>
      <c r="EV43" s="110">
        <f t="shared" si="430"/>
        <v>1.8215740458755476</v>
      </c>
      <c r="EW43" s="110">
        <f>IF(SeilBeregnet=0,"-",EW$7*(EY:EY+EW$6)*FB:FB*PropF+ErfaringsF+Dyp_F)</f>
        <v>0.9507779731435646</v>
      </c>
      <c r="EX43" s="144" t="str">
        <f t="shared" si="449"/>
        <v>-</v>
      </c>
      <c r="EY43" s="110">
        <f>(EZ:EZ*FA:FA)^EY$3</f>
        <v>3.5042942291938468</v>
      </c>
      <c r="EZ43" s="136">
        <f t="shared" si="431"/>
        <v>3.4419906978213426</v>
      </c>
      <c r="FA43" s="136">
        <f t="shared" si="432"/>
        <v>1.0181010167784417</v>
      </c>
      <c r="FB43" s="110">
        <f t="shared" si="433"/>
        <v>1.0243463628900011</v>
      </c>
      <c r="FC43" s="110">
        <f>IF(SeilBeregnet=0,"-",FC$7*(FE:FE+FC$6)*FI:FI*PropF+ErfaringsF+Dyp_F)</f>
        <v>0.95482606957346938</v>
      </c>
      <c r="FD43" s="144" t="str">
        <f t="shared" si="450"/>
        <v>-</v>
      </c>
      <c r="FE43" s="110">
        <f>(FF:FF+FG:FG+FH:FH)^FE$3+FE$7</f>
        <v>5.6030071851130021</v>
      </c>
      <c r="FF43" s="136">
        <f t="shared" si="434"/>
        <v>3.4419906978213426</v>
      </c>
      <c r="FG43" s="136">
        <f t="shared" si="435"/>
        <v>0.83277532337901605</v>
      </c>
      <c r="FH43" s="136">
        <f t="shared" si="436"/>
        <v>1.8282411639126435</v>
      </c>
      <c r="FI43" s="110">
        <f t="shared" si="437"/>
        <v>1.800102871839254</v>
      </c>
      <c r="FJ43" s="110">
        <f>IF(SeilBeregnet=0,"-",FJ$7*(FL:FL+FJ$6)*FO:FO*PropF+ErfaringsF+Dyp_F)</f>
        <v>0.95009771257805287</v>
      </c>
      <c r="FK43" s="144" t="str">
        <f t="shared" si="451"/>
        <v>-</v>
      </c>
      <c r="FL43" s="110">
        <f>(FM:FM*FN:FN)^FL$3</f>
        <v>6.2927890795613832</v>
      </c>
      <c r="FM43" s="136">
        <f t="shared" si="438"/>
        <v>3.4419906978213426</v>
      </c>
      <c r="FN43" s="136">
        <f t="shared" si="439"/>
        <v>1.8282411639126435</v>
      </c>
      <c r="FO43" s="110">
        <f t="shared" si="440"/>
        <v>1.800102871839254</v>
      </c>
      <c r="FQ43">
        <v>0.95</v>
      </c>
      <c r="FR43" s="64">
        <f t="shared" si="452"/>
        <v>1.154328348147748</v>
      </c>
      <c r="FS43" s="479"/>
      <c r="FT43" s="18"/>
      <c r="FU43" s="481"/>
      <c r="FV43" s="504"/>
      <c r="FW43" s="18"/>
      <c r="FX43" s="18"/>
      <c r="FY43" s="18"/>
      <c r="FZ43" s="18"/>
      <c r="GB43" s="18"/>
      <c r="GC43" s="481"/>
      <c r="GD43" s="8"/>
      <c r="GE43" s="8"/>
      <c r="GF43" s="8"/>
      <c r="GG43" s="8"/>
      <c r="GI43" s="18"/>
      <c r="GJ43" s="18"/>
      <c r="GK43" s="18"/>
      <c r="GL43" s="18"/>
      <c r="GM43" s="18"/>
      <c r="GN43" s="18"/>
      <c r="GO43" s="18"/>
      <c r="GP43" s="18"/>
    </row>
    <row r="44" spans="1:198" ht="15.6" x14ac:dyDescent="0.3">
      <c r="A44" s="62" t="s">
        <v>36</v>
      </c>
      <c r="B44" s="223"/>
      <c r="C44" s="14" t="str">
        <f>C40</f>
        <v>Gaffel</v>
      </c>
      <c r="G44" s="56"/>
      <c r="H44" s="209">
        <f>TBFavrundet</f>
        <v>86.999999999999986</v>
      </c>
      <c r="I44" s="65">
        <f>COUNTA(O44:AD44)</f>
        <v>2</v>
      </c>
      <c r="J44" s="228">
        <f>SUM(O44:AD44)</f>
        <v>66.900000000000006</v>
      </c>
      <c r="K44" s="119">
        <f>Seilareal/Depl^0.667/K$7</f>
        <v>0.94673543415865891</v>
      </c>
      <c r="L44" s="119">
        <f>Seilareal/Lwl/Lwl/L$7</f>
        <v>0.92071346260460085</v>
      </c>
      <c r="M44" s="95">
        <f>RiggF</f>
        <v>0.85261584454409556</v>
      </c>
      <c r="N44" s="265">
        <f>StHfaktor</f>
        <v>0.99759896686135863</v>
      </c>
      <c r="O44" s="147"/>
      <c r="P44" s="147"/>
      <c r="Q44" s="147"/>
      <c r="R44" s="147"/>
      <c r="S44" s="147"/>
      <c r="T44" s="169">
        <v>17.600000000000001</v>
      </c>
      <c r="U44" s="169">
        <v>49.3</v>
      </c>
      <c r="V44" s="148"/>
      <c r="W44" s="148"/>
      <c r="X44" s="148"/>
      <c r="Y44" s="147"/>
      <c r="Z44" s="147"/>
      <c r="AA44" s="147"/>
      <c r="AB44" s="147"/>
      <c r="AC44" s="147"/>
      <c r="AD44" s="147"/>
      <c r="AE44" s="260">
        <f t="shared" si="514"/>
        <v>10.3</v>
      </c>
      <c r="AF44" s="375">
        <f t="shared" si="507"/>
        <v>0</v>
      </c>
      <c r="AG44" s="377"/>
      <c r="AH44" s="375">
        <f t="shared" si="507"/>
        <v>0</v>
      </c>
      <c r="AI44" s="377"/>
      <c r="AJ44" s="295" t="str">
        <f t="shared" ref="AJ44" si="519" xml:space="preserve"> AJ43</f>
        <v>Lystb</v>
      </c>
      <c r="AK44" s="47">
        <f>VLOOKUP(AJ44,Skrogform!$1:$1048576,3,FALSE)</f>
        <v>0.98</v>
      </c>
      <c r="AL44" s="66">
        <f t="shared" si="516"/>
        <v>12.2</v>
      </c>
      <c r="AM44" s="66">
        <f t="shared" si="516"/>
        <v>10.5</v>
      </c>
      <c r="AN44" s="66">
        <f t="shared" si="516"/>
        <v>3.65</v>
      </c>
      <c r="AO44" s="66">
        <f t="shared" si="516"/>
        <v>1.85</v>
      </c>
      <c r="AP44" s="66">
        <f t="shared" si="516"/>
        <v>16.399999999999999</v>
      </c>
      <c r="AQ44" s="66">
        <f t="shared" si="516"/>
        <v>2.5</v>
      </c>
      <c r="AR44" s="66">
        <f t="shared" si="516"/>
        <v>2.5</v>
      </c>
      <c r="AS44" s="284">
        <f t="shared" si="516"/>
        <v>50</v>
      </c>
      <c r="AT44" s="284">
        <f t="shared" si="516"/>
        <v>350</v>
      </c>
      <c r="AU44" s="284">
        <f t="shared" ref="AU44:AV44" si="520">AU43</f>
        <v>200</v>
      </c>
      <c r="AV44" s="284">
        <f t="shared" si="520"/>
        <v>200</v>
      </c>
      <c r="AW44" s="284"/>
      <c r="AX44" s="284">
        <f>AX43</f>
        <v>0</v>
      </c>
      <c r="AY44" s="68"/>
      <c r="AZ44" s="68"/>
      <c r="BA44" s="289"/>
      <c r="BB44" s="68"/>
      <c r="BC44" s="179"/>
      <c r="BD44" s="68"/>
      <c r="BE44" s="68"/>
      <c r="BF44" s="67" t="str">
        <f t="shared" ref="BF44:BH44" si="521" xml:space="preserve"> BF43</f>
        <v>Fast</v>
      </c>
      <c r="BG44" s="295">
        <f t="shared" si="521"/>
        <v>3</v>
      </c>
      <c r="BH44" s="295">
        <f t="shared" si="521"/>
        <v>46</v>
      </c>
      <c r="BI44" s="47">
        <f t="shared" si="464"/>
        <v>0.98613081682301351</v>
      </c>
      <c r="BJ44" s="61"/>
      <c r="BK44" s="61"/>
      <c r="BM44" s="51">
        <f t="shared" si="512"/>
        <v>0</v>
      </c>
      <c r="BN44" s="51">
        <f t="shared" si="512"/>
        <v>0</v>
      </c>
      <c r="BO44" s="51">
        <f t="shared" si="512"/>
        <v>0</v>
      </c>
      <c r="BP44" s="51">
        <f t="shared" si="512"/>
        <v>0</v>
      </c>
      <c r="BQ44" s="51">
        <f t="shared" si="512"/>
        <v>0</v>
      </c>
      <c r="BR44" s="51">
        <f t="shared" si="512"/>
        <v>17.600000000000001</v>
      </c>
      <c r="BS44" s="52">
        <f>IF(COUNT(P44:T44)&gt;1,MINA(P44:T44)*BS$9,0)</f>
        <v>0</v>
      </c>
      <c r="BT44" s="88">
        <f t="shared" si="513"/>
        <v>39.44</v>
      </c>
      <c r="BU44" s="88">
        <f t="shared" si="513"/>
        <v>0</v>
      </c>
      <c r="BV44" s="88">
        <f t="shared" si="513"/>
        <v>0</v>
      </c>
      <c r="BW44" s="88">
        <f t="shared" si="513"/>
        <v>0</v>
      </c>
      <c r="BX44" s="88">
        <f t="shared" si="513"/>
        <v>0</v>
      </c>
      <c r="BY44" s="88">
        <f t="shared" si="513"/>
        <v>0</v>
      </c>
      <c r="BZ44" s="88">
        <f t="shared" si="513"/>
        <v>0</v>
      </c>
      <c r="CA44" s="88">
        <f t="shared" si="513"/>
        <v>0</v>
      </c>
      <c r="CB44" s="88">
        <f t="shared" si="513"/>
        <v>0</v>
      </c>
      <c r="CC44" s="88">
        <f t="shared" si="513"/>
        <v>0</v>
      </c>
      <c r="CD44" s="103">
        <f>SUM(BM44:CC44)</f>
        <v>57.04</v>
      </c>
      <c r="CE44" s="52"/>
      <c r="CF44" s="107">
        <f>J44</f>
        <v>66.900000000000006</v>
      </c>
      <c r="CG44" s="104">
        <f>CD44/CF44</f>
        <v>0.85261584454409556</v>
      </c>
      <c r="CH44" s="53">
        <f>Seilareal/Lwl/Lwl</f>
        <v>0.60680272108843547</v>
      </c>
      <c r="CI44" s="119">
        <f>Seilareal/Depl^0.667/K$7</f>
        <v>0.94673543415865891</v>
      </c>
      <c r="CJ44" s="53">
        <f>Seilareal/Lwl/Lwl/SApRS1</f>
        <v>0.92071346260460085</v>
      </c>
      <c r="CK44" s="209"/>
      <c r="CL44" s="209">
        <f>(ROUND(TBF/CL$6,3)*CL$6)*CL$4</f>
        <v>86.999999999999986</v>
      </c>
      <c r="CM44" s="110">
        <f t="shared" si="234"/>
        <v>0.86992826503820142</v>
      </c>
      <c r="CN44" s="64">
        <f>IF(SeilBeregnet=0,"-",(SeilBeregnet)^(1/2)*StHfaktor/(Depl+DeplTillegg/1000+Vann/1000+Diesel/1000*0.84)^(1/3))</f>
        <v>2.9320330673806958</v>
      </c>
      <c r="CO44" s="64">
        <f t="shared" si="203"/>
        <v>1.7634026882977951</v>
      </c>
      <c r="CP44" s="64">
        <f t="shared" si="204"/>
        <v>1.800102871839254</v>
      </c>
      <c r="CQ44" s="110">
        <f t="shared" si="205"/>
        <v>0.99759896686135863</v>
      </c>
      <c r="CR44" s="172" t="str">
        <f t="shared" si="390"/>
        <v>-</v>
      </c>
      <c r="CS44" s="162"/>
      <c r="CT44" s="172" t="str">
        <f t="shared" si="391"/>
        <v>-</v>
      </c>
      <c r="CU44" s="164"/>
      <c r="CV44" s="195" t="s">
        <v>145</v>
      </c>
      <c r="CW44" s="64">
        <v>0.81</v>
      </c>
      <c r="CX44" s="64">
        <v>0.83</v>
      </c>
      <c r="CY44" s="64">
        <v>0.84</v>
      </c>
      <c r="CZ44" s="154">
        <v>0.87</v>
      </c>
      <c r="DA44" s="64">
        <f t="shared" si="392"/>
        <v>2.0040735049398686</v>
      </c>
      <c r="DB44" s="49">
        <f t="shared" si="393"/>
        <v>12.211221122112212</v>
      </c>
      <c r="DC44" s="50">
        <f t="shared" si="394"/>
        <v>0</v>
      </c>
      <c r="DE44" s="110">
        <f>IF(SeilBeregnet=0,"-",DE$7*(DG:DG+DE$6)*DL:DL*PropF+ErfaringsF+Dyp_F)</f>
        <v>0.86079343262390728</v>
      </c>
      <c r="DF44" s="144" t="str">
        <f t="shared" si="446"/>
        <v>-</v>
      </c>
      <c r="DG44" s="110">
        <f t="shared" si="395"/>
        <v>4.8011548742507006</v>
      </c>
      <c r="DH44" s="136">
        <f t="shared" si="409"/>
        <v>2.972913710338057</v>
      </c>
      <c r="DI44" s="136">
        <f t="shared" si="410"/>
        <v>0</v>
      </c>
      <c r="DJ44" s="136">
        <f t="shared" si="411"/>
        <v>0</v>
      </c>
      <c r="DK44" s="136">
        <f t="shared" si="412"/>
        <v>1.8282411639126435</v>
      </c>
      <c r="DL44" s="110">
        <f t="shared" si="413"/>
        <v>1.800102871839254</v>
      </c>
      <c r="DM44" s="136">
        <f t="shared" si="414"/>
        <v>1.9470448393802795</v>
      </c>
      <c r="DO44" s="110">
        <f t="shared" si="467"/>
        <v>0.88768190310020545</v>
      </c>
      <c r="DP44" s="110">
        <f t="shared" si="396"/>
        <v>0.85687192501276432</v>
      </c>
      <c r="DR44" s="110">
        <f t="shared" si="397"/>
        <v>0.87000221173738401</v>
      </c>
      <c r="DS44" s="125" t="str">
        <f t="shared" si="447"/>
        <v>-</v>
      </c>
      <c r="DT44" s="110">
        <f t="shared" si="398"/>
        <v>0.86080496480371571</v>
      </c>
      <c r="DU44" s="125" t="str">
        <f t="shared" si="448"/>
        <v>-</v>
      </c>
      <c r="DV44" s="110">
        <f t="shared" si="415"/>
        <v>2.9726642385248865</v>
      </c>
      <c r="DW44" s="110">
        <f t="shared" si="416"/>
        <v>2.1895879451208748</v>
      </c>
      <c r="DX44" s="110">
        <f t="shared" si="417"/>
        <v>1.579185865474966</v>
      </c>
      <c r="DZ44" s="110">
        <f t="shared" si="399"/>
        <v>0.866866992212319</v>
      </c>
      <c r="EB44" s="110">
        <f t="shared" si="418"/>
        <v>2.9726642385248865</v>
      </c>
      <c r="EC44" s="110">
        <f t="shared" si="419"/>
        <v>2.1897424068563001</v>
      </c>
      <c r="ED44" s="110">
        <f t="shared" si="420"/>
        <v>1.8388707573234102</v>
      </c>
      <c r="EE44" s="110">
        <f t="shared" si="400"/>
        <v>0.85553157784151612</v>
      </c>
      <c r="EG44" s="110">
        <f t="shared" si="421"/>
        <v>4.6943893482814039</v>
      </c>
      <c r="EH44" s="110">
        <f t="shared" si="422"/>
        <v>2.9726642385248865</v>
      </c>
      <c r="EI44" s="110">
        <f t="shared" si="423"/>
        <v>1.579185865474966</v>
      </c>
      <c r="EJ44" s="110">
        <f t="shared" si="424"/>
        <v>1.800102871839254</v>
      </c>
      <c r="EK44" s="110">
        <f>IF(SeilBeregnet=0,"-",EK$7*(EK$4*EM:EM+EK$6)*EP:EP*PropF+ErfaringsF+Dyp_F)</f>
        <v>0.85917209505403747</v>
      </c>
      <c r="EM44" s="110">
        <f>IF(SeilBeregnet=0,EM43,(EN:EN*EO:EO)^EM$3)</f>
        <v>1.7318913657419612</v>
      </c>
      <c r="EN44" s="110">
        <f t="shared" si="425"/>
        <v>2.9726642385248865</v>
      </c>
      <c r="EO44" s="110">
        <f t="shared" si="426"/>
        <v>1.0090099190684112</v>
      </c>
      <c r="EP44" s="110">
        <f t="shared" si="427"/>
        <v>1.8215740458755476</v>
      </c>
      <c r="EQ44" s="110">
        <f>IF(SeilBeregnet=0,"-",EQ$7*(ES:ES+EQ$6)*EV:EV*PropF+ErfaringsF+Dyp_F)</f>
        <v>0.85133050033080293</v>
      </c>
      <c r="ES44" s="110">
        <f>(ET:ET*EU:EU)^ES$3</f>
        <v>1.731964036077416</v>
      </c>
      <c r="ET44" s="110">
        <f t="shared" si="428"/>
        <v>2.972913710338057</v>
      </c>
      <c r="EU44" s="110">
        <f t="shared" si="429"/>
        <v>1.0090099190684112</v>
      </c>
      <c r="EV44" s="110">
        <f t="shared" si="430"/>
        <v>1.8215740458755476</v>
      </c>
      <c r="EW44" s="110">
        <f>IF(SeilBeregnet=0,"-",EW$7*(EY:EY+EW$6)*FB:FB*PropF+ErfaringsF+Dyp_F)</f>
        <v>0.86828585226628374</v>
      </c>
      <c r="EX44" s="144" t="str">
        <f t="shared" si="449"/>
        <v>-</v>
      </c>
      <c r="EY44" s="110">
        <f>(EZ:EZ*FA:FA)^EY$3</f>
        <v>3.0267264712897455</v>
      </c>
      <c r="EZ44" s="136">
        <f t="shared" si="431"/>
        <v>2.972913710338057</v>
      </c>
      <c r="FA44" s="136">
        <f t="shared" si="432"/>
        <v>1.0181010167784417</v>
      </c>
      <c r="FB44" s="110">
        <f t="shared" si="433"/>
        <v>1.0243463628900011</v>
      </c>
      <c r="FC44" s="110">
        <f>IF(SeilBeregnet=0,"-",FC$7*(FE:FE+FC$6)*FI:FI*PropF+ErfaringsF+Dyp_F)</f>
        <v>0.85554878900139864</v>
      </c>
      <c r="FD44" s="144" t="str">
        <f t="shared" si="450"/>
        <v>-</v>
      </c>
      <c r="FE44" s="110">
        <f>(FF:FF+FG:FG+FH:FH)^FE$3+FE$7</f>
        <v>5.0204389728601937</v>
      </c>
      <c r="FF44" s="136">
        <f t="shared" si="434"/>
        <v>2.972913710338057</v>
      </c>
      <c r="FG44" s="136">
        <f t="shared" si="435"/>
        <v>0.71928409860949349</v>
      </c>
      <c r="FH44" s="136">
        <f t="shared" si="436"/>
        <v>1.8282411639126435</v>
      </c>
      <c r="FI44" s="110">
        <f t="shared" si="437"/>
        <v>1.800102871839254</v>
      </c>
      <c r="FJ44" s="110">
        <f>IF(SeilBeregnet=0,"-",FJ$7*(FL:FL+FJ$6)*FO:FO*PropF+ErfaringsF+Dyp_F)</f>
        <v>0.8709364322574431</v>
      </c>
      <c r="FK44" s="144" t="str">
        <f t="shared" si="451"/>
        <v>-</v>
      </c>
      <c r="FL44" s="110">
        <f>(FM:FM*FN:FN)^FL$3</f>
        <v>5.4352032220003048</v>
      </c>
      <c r="FM44" s="136">
        <f t="shared" si="438"/>
        <v>2.972913710338057</v>
      </c>
      <c r="FN44" s="136">
        <f t="shared" si="439"/>
        <v>1.8282411639126435</v>
      </c>
      <c r="FO44" s="110">
        <f t="shared" si="440"/>
        <v>1.800102871839254</v>
      </c>
      <c r="FQ44">
        <v>0.95</v>
      </c>
      <c r="FR44" s="64">
        <f t="shared" si="452"/>
        <v>1.07930802167157</v>
      </c>
      <c r="FS44" s="479"/>
      <c r="FT44" s="18"/>
      <c r="FU44" s="481"/>
      <c r="FV44" s="504"/>
      <c r="FW44" s="18"/>
      <c r="FX44" s="18"/>
      <c r="FY44" s="18"/>
      <c r="FZ44" s="18"/>
      <c r="GB44" s="18"/>
      <c r="GC44" s="481"/>
      <c r="GD44" s="8"/>
      <c r="GE44" s="8"/>
      <c r="GF44" s="8"/>
      <c r="GG44" s="8"/>
      <c r="GI44" s="18"/>
      <c r="GJ44" s="18"/>
      <c r="GK44" s="18"/>
      <c r="GL44" s="18"/>
      <c r="GM44" s="18"/>
      <c r="GN44" s="18"/>
      <c r="GO44" s="18"/>
      <c r="GP44" s="18"/>
    </row>
    <row r="45" spans="1:198" ht="15.6" x14ac:dyDescent="0.3">
      <c r="A45" s="62" t="s">
        <v>38</v>
      </c>
      <c r="B45" s="223"/>
      <c r="C45" s="14" t="str">
        <f>C41</f>
        <v>Gaffel</v>
      </c>
      <c r="G45" s="56"/>
      <c r="H45" s="209">
        <f>TBFavrundet</f>
        <v>82.5</v>
      </c>
      <c r="I45" s="65">
        <f>COUNTA(O45:AD45)</f>
        <v>2</v>
      </c>
      <c r="J45" s="228">
        <f>SUM(O45:AD45)</f>
        <v>57.9</v>
      </c>
      <c r="K45" s="119">
        <f>Seilareal/Depl^0.667/K$7</f>
        <v>0.81937192283686611</v>
      </c>
      <c r="L45" s="119">
        <f>Seilareal/Lwl/Lwl/L$7</f>
        <v>0.79685066494478896</v>
      </c>
      <c r="M45" s="95">
        <f>RiggF</f>
        <v>0.82599309153713307</v>
      </c>
      <c r="N45" s="265">
        <f>StHfaktor</f>
        <v>0.99759896686135863</v>
      </c>
      <c r="O45" s="147"/>
      <c r="P45" s="147"/>
      <c r="Q45" s="147"/>
      <c r="R45" s="147"/>
      <c r="S45" s="147"/>
      <c r="T45" s="169">
        <v>17.600000000000001</v>
      </c>
      <c r="U45" s="148"/>
      <c r="V45" s="184">
        <f>V41</f>
        <v>40.299999999999997</v>
      </c>
      <c r="W45" s="148"/>
      <c r="X45" s="148"/>
      <c r="Y45" s="147"/>
      <c r="Z45" s="147"/>
      <c r="AA45" s="147"/>
      <c r="AB45" s="147"/>
      <c r="AC45" s="147"/>
      <c r="AD45" s="147"/>
      <c r="AE45" s="260">
        <f t="shared" si="514"/>
        <v>10.3</v>
      </c>
      <c r="AF45" s="375">
        <f t="shared" si="507"/>
        <v>0</v>
      </c>
      <c r="AG45" s="377"/>
      <c r="AH45" s="375">
        <f t="shared" si="507"/>
        <v>0</v>
      </c>
      <c r="AI45" s="377"/>
      <c r="AJ45" s="295" t="str">
        <f t="shared" ref="AJ45" si="522" xml:space="preserve"> AJ44</f>
        <v>Lystb</v>
      </c>
      <c r="AK45" s="47">
        <f>VLOOKUP(AJ45,Skrogform!$1:$1048576,3,FALSE)</f>
        <v>0.98</v>
      </c>
      <c r="AL45" s="66">
        <f t="shared" si="516"/>
        <v>12.2</v>
      </c>
      <c r="AM45" s="66">
        <f t="shared" si="516"/>
        <v>10.5</v>
      </c>
      <c r="AN45" s="66">
        <f t="shared" si="516"/>
        <v>3.65</v>
      </c>
      <c r="AO45" s="66">
        <f t="shared" si="516"/>
        <v>1.85</v>
      </c>
      <c r="AP45" s="66">
        <f t="shared" si="516"/>
        <v>16.399999999999999</v>
      </c>
      <c r="AQ45" s="66">
        <f t="shared" si="516"/>
        <v>2.5</v>
      </c>
      <c r="AR45" s="66">
        <f t="shared" si="516"/>
        <v>2.5</v>
      </c>
      <c r="AS45" s="284">
        <f t="shared" si="516"/>
        <v>50</v>
      </c>
      <c r="AT45" s="284">
        <f t="shared" si="516"/>
        <v>350</v>
      </c>
      <c r="AU45" s="284">
        <f t="shared" ref="AU45:AV45" si="523">AU44</f>
        <v>200</v>
      </c>
      <c r="AV45" s="284">
        <f t="shared" si="523"/>
        <v>200</v>
      </c>
      <c r="AW45" s="284"/>
      <c r="AX45" s="284">
        <f>AX44</f>
        <v>0</v>
      </c>
      <c r="AY45" s="68"/>
      <c r="AZ45" s="68"/>
      <c r="BA45" s="289"/>
      <c r="BB45" s="68"/>
      <c r="BC45" s="179"/>
      <c r="BD45" s="68"/>
      <c r="BE45" s="68"/>
      <c r="BF45" s="67" t="str">
        <f t="shared" ref="BF45:BH45" si="524" xml:space="preserve"> BF44</f>
        <v>Fast</v>
      </c>
      <c r="BG45" s="295">
        <f t="shared" si="524"/>
        <v>3</v>
      </c>
      <c r="BH45" s="295">
        <f t="shared" si="524"/>
        <v>46</v>
      </c>
      <c r="BI45" s="47">
        <f t="shared" si="464"/>
        <v>0.98613081682301351</v>
      </c>
      <c r="BJ45" s="61"/>
      <c r="BK45" s="61"/>
      <c r="BM45" s="51">
        <f t="shared" si="512"/>
        <v>0</v>
      </c>
      <c r="BN45" s="51">
        <f t="shared" si="512"/>
        <v>0</v>
      </c>
      <c r="BO45" s="51">
        <f t="shared" si="512"/>
        <v>0</v>
      </c>
      <c r="BP45" s="51">
        <f t="shared" si="512"/>
        <v>0</v>
      </c>
      <c r="BQ45" s="51">
        <f t="shared" si="512"/>
        <v>0</v>
      </c>
      <c r="BR45" s="51">
        <f t="shared" si="512"/>
        <v>17.600000000000001</v>
      </c>
      <c r="BS45" s="52">
        <f>IF(COUNT(P45:T45)&gt;1,MINA(P45:T45)*BS$9,0)</f>
        <v>0</v>
      </c>
      <c r="BT45" s="88">
        <f t="shared" si="513"/>
        <v>0</v>
      </c>
      <c r="BU45" s="88">
        <f t="shared" si="513"/>
        <v>30.224999999999998</v>
      </c>
      <c r="BV45" s="88">
        <f t="shared" si="513"/>
        <v>0</v>
      </c>
      <c r="BW45" s="88">
        <f t="shared" si="513"/>
        <v>0</v>
      </c>
      <c r="BX45" s="88">
        <f t="shared" si="513"/>
        <v>0</v>
      </c>
      <c r="BY45" s="88">
        <f t="shared" si="513"/>
        <v>0</v>
      </c>
      <c r="BZ45" s="88">
        <f t="shared" si="513"/>
        <v>0</v>
      </c>
      <c r="CA45" s="88">
        <f t="shared" si="513"/>
        <v>0</v>
      </c>
      <c r="CB45" s="88">
        <f t="shared" si="513"/>
        <v>0</v>
      </c>
      <c r="CC45" s="88">
        <f t="shared" si="513"/>
        <v>0</v>
      </c>
      <c r="CD45" s="103">
        <f>SUM(BM45:CC45)</f>
        <v>47.825000000000003</v>
      </c>
      <c r="CE45" s="52"/>
      <c r="CF45" s="107">
        <f>J45</f>
        <v>57.9</v>
      </c>
      <c r="CG45" s="104">
        <f>CD45/CF45</f>
        <v>0.82599309153713307</v>
      </c>
      <c r="CH45" s="53">
        <f>Seilareal/Lwl/Lwl</f>
        <v>0.52517006802721089</v>
      </c>
      <c r="CI45" s="119">
        <f>Seilareal/Depl^0.667/K$7</f>
        <v>0.81937192283686611</v>
      </c>
      <c r="CJ45" s="53">
        <f>Seilareal/Lwl/Lwl/SApRS1</f>
        <v>0.79685066494478896</v>
      </c>
      <c r="CK45" s="209"/>
      <c r="CL45" s="209">
        <f>(ROUND(TBF/CL$6,3)*CL$6)*CL$4</f>
        <v>82.5</v>
      </c>
      <c r="CM45" s="110">
        <f t="shared" si="234"/>
        <v>0.82411701658532344</v>
      </c>
      <c r="CN45" s="64">
        <f>IF(SeilBeregnet=0,"-",(SeilBeregnet)^(1/2)*StHfaktor/(Depl+DeplTillegg/1000+Vann/1000+Diesel/1000*0.84)^(1/3))</f>
        <v>2.6847669620674397</v>
      </c>
      <c r="CO45" s="64">
        <f t="shared" si="203"/>
        <v>1.7634026882977951</v>
      </c>
      <c r="CP45" s="64">
        <f t="shared" si="204"/>
        <v>1.800102871839254</v>
      </c>
      <c r="CQ45" s="110">
        <f t="shared" si="205"/>
        <v>0.99759896686135863</v>
      </c>
      <c r="CR45" s="172" t="str">
        <f t="shared" si="390"/>
        <v>-</v>
      </c>
      <c r="CS45" s="162"/>
      <c r="CT45" s="172" t="str">
        <f t="shared" si="391"/>
        <v>-</v>
      </c>
      <c r="CU45" s="164"/>
      <c r="CV45" s="195" t="s">
        <v>145</v>
      </c>
      <c r="CW45" s="64">
        <v>0.78</v>
      </c>
      <c r="CX45" s="64">
        <v>0.81</v>
      </c>
      <c r="CY45" s="64">
        <v>0.81</v>
      </c>
      <c r="CZ45" s="154"/>
      <c r="DA45" s="64">
        <f t="shared" si="392"/>
        <v>2.0040735049398686</v>
      </c>
      <c r="DB45" s="49">
        <f t="shared" si="393"/>
        <v>12.211221122112212</v>
      </c>
      <c r="DC45" s="50">
        <f t="shared" si="394"/>
        <v>0</v>
      </c>
      <c r="DE45" s="110">
        <f>IF(SeilBeregnet=0,"-",DE$7*(DG:DG+DE$6)*DL:DL*PropF+ErfaringsF+Dyp_F)</f>
        <v>0.81584327100313858</v>
      </c>
      <c r="DF45" s="144" t="str">
        <f t="shared" si="446"/>
        <v>-</v>
      </c>
      <c r="DG45" s="110">
        <f t="shared" si="395"/>
        <v>4.5504411961664459</v>
      </c>
      <c r="DH45" s="136">
        <f t="shared" si="409"/>
        <v>2.7222000322538022</v>
      </c>
      <c r="DI45" s="136">
        <f t="shared" si="410"/>
        <v>0</v>
      </c>
      <c r="DJ45" s="136">
        <f t="shared" si="411"/>
        <v>0</v>
      </c>
      <c r="DK45" s="136">
        <f t="shared" si="412"/>
        <v>1.8282411639126435</v>
      </c>
      <c r="DL45" s="110">
        <f t="shared" si="413"/>
        <v>1.800102871839254</v>
      </c>
      <c r="DM45" s="136">
        <f t="shared" si="414"/>
        <v>1.9470448393802795</v>
      </c>
      <c r="DO45" s="110">
        <f t="shared" si="467"/>
        <v>0.8409357312095137</v>
      </c>
      <c r="DP45" s="110">
        <f t="shared" si="396"/>
        <v>0.80124946417384046</v>
      </c>
      <c r="DR45" s="110">
        <f t="shared" si="397"/>
        <v>0.82496224890809322</v>
      </c>
      <c r="DS45" s="125" t="str">
        <f t="shared" si="447"/>
        <v>-</v>
      </c>
      <c r="DT45" s="110">
        <f t="shared" si="398"/>
        <v>0.80723649035742828</v>
      </c>
      <c r="DU45" s="125" t="str">
        <f t="shared" si="448"/>
        <v>-</v>
      </c>
      <c r="DV45" s="110">
        <f t="shared" si="415"/>
        <v>2.7219715990586182</v>
      </c>
      <c r="DW45" s="110">
        <f t="shared" si="416"/>
        <v>2.1895879451208748</v>
      </c>
      <c r="DX45" s="110">
        <f t="shared" si="417"/>
        <v>1.579185865474966</v>
      </c>
      <c r="DZ45" s="110">
        <f t="shared" si="399"/>
        <v>0.81839863900843923</v>
      </c>
      <c r="EB45" s="110">
        <f t="shared" si="418"/>
        <v>2.7219715990586182</v>
      </c>
      <c r="EC45" s="110">
        <f t="shared" si="419"/>
        <v>2.1897424068563001</v>
      </c>
      <c r="ED45" s="110">
        <f t="shared" si="420"/>
        <v>1.8388707573234102</v>
      </c>
      <c r="EE45" s="110">
        <f t="shared" si="400"/>
        <v>0.80493747401217197</v>
      </c>
      <c r="EG45" s="110">
        <f t="shared" si="421"/>
        <v>4.2984990754576611</v>
      </c>
      <c r="EH45" s="110">
        <f t="shared" si="422"/>
        <v>2.7219715990586182</v>
      </c>
      <c r="EI45" s="110">
        <f t="shared" si="423"/>
        <v>1.579185865474966</v>
      </c>
      <c r="EJ45" s="110">
        <f t="shared" si="424"/>
        <v>1.800102871839254</v>
      </c>
      <c r="EK45" s="110">
        <f>IF(SeilBeregnet=0,"-",EK$7*(EK$4*EM:EM+EK$6)*EP:EP*PropF+ErfaringsF+Dyp_F)</f>
        <v>0.80711806480675052</v>
      </c>
      <c r="EM45" s="110">
        <f>IF(SeilBeregnet=0,EM44,(EN:EN*EO:EO)^EM$3)</f>
        <v>1.6572556661157174</v>
      </c>
      <c r="EN45" s="110">
        <f t="shared" si="425"/>
        <v>2.7219715990586182</v>
      </c>
      <c r="EO45" s="110">
        <f t="shared" si="426"/>
        <v>1.0090099190684112</v>
      </c>
      <c r="EP45" s="110">
        <f t="shared" si="427"/>
        <v>1.8215740458755476</v>
      </c>
      <c r="EQ45" s="110">
        <f>IF(SeilBeregnet=0,"-",EQ$7*(ES:ES+EQ$6)*EV:EV*PropF+ErfaringsF+Dyp_F)</f>
        <v>0.81464249046932513</v>
      </c>
      <c r="ES45" s="110">
        <f>(ET:ET*EU:EU)^ES$3</f>
        <v>1.6573252047297282</v>
      </c>
      <c r="ET45" s="110">
        <f t="shared" si="428"/>
        <v>2.7222000322538022</v>
      </c>
      <c r="EU45" s="110">
        <f t="shared" si="429"/>
        <v>1.0090099190684112</v>
      </c>
      <c r="EV45" s="110">
        <f t="shared" si="430"/>
        <v>1.8215740458755476</v>
      </c>
      <c r="EW45" s="110">
        <f>IF(SeilBeregnet=0,"-",EW$7*(EY:EY+EW$6)*FB:FB*PropF+ErfaringsF+Dyp_F)</f>
        <v>0.82419521556914466</v>
      </c>
      <c r="EX45" s="144" t="str">
        <f t="shared" si="449"/>
        <v>-</v>
      </c>
      <c r="EY45" s="110">
        <f>(EZ:EZ*FA:FA)^EY$3</f>
        <v>2.7714746207119028</v>
      </c>
      <c r="EZ45" s="136">
        <f t="shared" si="431"/>
        <v>2.7222000322538022</v>
      </c>
      <c r="FA45" s="136">
        <f t="shared" si="432"/>
        <v>1.0181010167784417</v>
      </c>
      <c r="FB45" s="110">
        <f t="shared" si="433"/>
        <v>1.0243463628900011</v>
      </c>
      <c r="FC45" s="110">
        <f>IF(SeilBeregnet=0,"-",FC$7*(FE:FE+FC$6)*FI:FI*PropF+ErfaringsF+Dyp_F)</f>
        <v>0.80248676970267263</v>
      </c>
      <c r="FD45" s="144" t="str">
        <f t="shared" si="450"/>
        <v>-</v>
      </c>
      <c r="FE45" s="110">
        <f>(FF:FF+FG:FG+FH:FH)^FE$3+FE$7</f>
        <v>4.7090661638624498</v>
      </c>
      <c r="FF45" s="136">
        <f t="shared" si="434"/>
        <v>2.7222000322538022</v>
      </c>
      <c r="FG45" s="136">
        <f t="shared" si="435"/>
        <v>0.65862496769600409</v>
      </c>
      <c r="FH45" s="136">
        <f t="shared" si="436"/>
        <v>1.8282411639126435</v>
      </c>
      <c r="FI45" s="110">
        <f t="shared" si="437"/>
        <v>1.800102871839254</v>
      </c>
      <c r="FJ45" s="110">
        <f>IF(SeilBeregnet=0,"-",FJ$7*(FL:FL+FJ$6)*FO:FO*PropF+ErfaringsF+Dyp_F)</f>
        <v>0.82862607323189841</v>
      </c>
      <c r="FK45" s="144" t="str">
        <f t="shared" si="451"/>
        <v>-</v>
      </c>
      <c r="FL45" s="110">
        <f>(FM:FM*FN:FN)^FL$3</f>
        <v>4.9768381553707268</v>
      </c>
      <c r="FM45" s="136">
        <f t="shared" si="438"/>
        <v>2.7222000322538022</v>
      </c>
      <c r="FN45" s="136">
        <f t="shared" si="439"/>
        <v>1.8282411639126435</v>
      </c>
      <c r="FO45" s="110">
        <f t="shared" si="440"/>
        <v>1.800102871839254</v>
      </c>
      <c r="FQ45">
        <v>0.95</v>
      </c>
      <c r="FR45" s="64">
        <f t="shared" si="452"/>
        <v>1.0392109321024632</v>
      </c>
      <c r="FS45" s="479"/>
      <c r="FT45" s="18"/>
      <c r="FU45" s="481"/>
      <c r="FV45" s="504"/>
      <c r="FW45" s="18"/>
      <c r="FX45" s="18"/>
      <c r="FY45" s="18"/>
      <c r="FZ45" s="18"/>
      <c r="GB45" s="18"/>
      <c r="GC45" s="481"/>
      <c r="GD45" s="8"/>
      <c r="GE45" s="8"/>
      <c r="GF45" s="8"/>
      <c r="GG45" s="8"/>
      <c r="GI45" s="18"/>
      <c r="GJ45" s="18"/>
      <c r="GK45" s="18"/>
      <c r="GL45" s="18"/>
      <c r="GM45" s="18"/>
      <c r="GN45" s="18"/>
      <c r="GO45" s="18"/>
      <c r="GP45" s="18"/>
    </row>
    <row r="46" spans="1:198" ht="15.6" x14ac:dyDescent="0.3">
      <c r="A46" s="62" t="s">
        <v>39</v>
      </c>
      <c r="B46" s="223"/>
      <c r="C46" s="14" t="str">
        <f>C42</f>
        <v>Gaffel</v>
      </c>
      <c r="G46" s="56"/>
      <c r="H46" s="209">
        <f>TBFavrundet</f>
        <v>78.5</v>
      </c>
      <c r="I46" s="65">
        <f>COUNTA(O46:AD46)</f>
        <v>2</v>
      </c>
      <c r="J46" s="228">
        <f>SUM(O46:AD46)</f>
        <v>50.1</v>
      </c>
      <c r="K46" s="119">
        <f>Seilareal/Depl^0.667/K$7</f>
        <v>0.70899021302464593</v>
      </c>
      <c r="L46" s="119">
        <f>Seilareal/Lwl/Lwl/L$7</f>
        <v>0.68950290697295202</v>
      </c>
      <c r="M46" s="95">
        <f>RiggF</f>
        <v>0.80538922155688619</v>
      </c>
      <c r="N46" s="265">
        <f>StHfaktor</f>
        <v>0.99759896686135863</v>
      </c>
      <c r="O46" s="147"/>
      <c r="P46" s="147"/>
      <c r="Q46" s="147"/>
      <c r="R46" s="147"/>
      <c r="S46" s="147"/>
      <c r="T46" s="169">
        <v>17.600000000000001</v>
      </c>
      <c r="U46" s="148"/>
      <c r="V46" s="148"/>
      <c r="W46" s="184">
        <f>W41</f>
        <v>32.5</v>
      </c>
      <c r="X46" s="148"/>
      <c r="Y46" s="147"/>
      <c r="Z46" s="147"/>
      <c r="AA46" s="147"/>
      <c r="AB46" s="147"/>
      <c r="AC46" s="147"/>
      <c r="AD46" s="147"/>
      <c r="AE46" s="260">
        <f t="shared" si="514"/>
        <v>10.3</v>
      </c>
      <c r="AF46" s="375">
        <f t="shared" si="507"/>
        <v>0</v>
      </c>
      <c r="AG46" s="377"/>
      <c r="AH46" s="375">
        <f t="shared" si="507"/>
        <v>0</v>
      </c>
      <c r="AI46" s="377"/>
      <c r="AJ46" s="295" t="str">
        <f t="shared" ref="AJ46" si="525" xml:space="preserve"> AJ45</f>
        <v>Lystb</v>
      </c>
      <c r="AK46" s="47">
        <f>VLOOKUP(AJ46,Skrogform!$1:$1048576,3,FALSE)</f>
        <v>0.98</v>
      </c>
      <c r="AL46" s="66">
        <f t="shared" si="516"/>
        <v>12.2</v>
      </c>
      <c r="AM46" s="66">
        <f t="shared" si="516"/>
        <v>10.5</v>
      </c>
      <c r="AN46" s="66">
        <f t="shared" si="516"/>
        <v>3.65</v>
      </c>
      <c r="AO46" s="66">
        <f t="shared" si="516"/>
        <v>1.85</v>
      </c>
      <c r="AP46" s="66">
        <f t="shared" si="516"/>
        <v>16.399999999999999</v>
      </c>
      <c r="AQ46" s="66">
        <f t="shared" si="516"/>
        <v>2.5</v>
      </c>
      <c r="AR46" s="66">
        <f t="shared" si="516"/>
        <v>2.5</v>
      </c>
      <c r="AS46" s="284">
        <f t="shared" si="516"/>
        <v>50</v>
      </c>
      <c r="AT46" s="284">
        <f t="shared" si="516"/>
        <v>350</v>
      </c>
      <c r="AU46" s="284">
        <f t="shared" ref="AU46:AV46" si="526">AU45</f>
        <v>200</v>
      </c>
      <c r="AV46" s="284">
        <f t="shared" si="526"/>
        <v>200</v>
      </c>
      <c r="AW46" s="284"/>
      <c r="AX46" s="284">
        <f>AX45</f>
        <v>0</v>
      </c>
      <c r="AY46" s="68"/>
      <c r="AZ46" s="68"/>
      <c r="BA46" s="289"/>
      <c r="BB46" s="68"/>
      <c r="BC46" s="179"/>
      <c r="BD46" s="68"/>
      <c r="BE46" s="68"/>
      <c r="BF46" s="67" t="str">
        <f t="shared" ref="BF46:BH46" si="527" xml:space="preserve"> BF45</f>
        <v>Fast</v>
      </c>
      <c r="BG46" s="295">
        <f t="shared" si="527"/>
        <v>3</v>
      </c>
      <c r="BH46" s="295">
        <f t="shared" si="527"/>
        <v>46</v>
      </c>
      <c r="BI46" s="47">
        <f t="shared" si="464"/>
        <v>0.98613081682301351</v>
      </c>
      <c r="BJ46" s="61"/>
      <c r="BK46" s="61"/>
      <c r="BM46" s="51">
        <f t="shared" si="512"/>
        <v>0</v>
      </c>
      <c r="BN46" s="51">
        <f t="shared" si="512"/>
        <v>0</v>
      </c>
      <c r="BO46" s="51">
        <f t="shared" si="512"/>
        <v>0</v>
      </c>
      <c r="BP46" s="51">
        <f t="shared" si="512"/>
        <v>0</v>
      </c>
      <c r="BQ46" s="51">
        <f t="shared" si="512"/>
        <v>0</v>
      </c>
      <c r="BR46" s="51">
        <f t="shared" si="512"/>
        <v>17.600000000000001</v>
      </c>
      <c r="BS46" s="52">
        <f>IF(COUNT(P46:T46)&gt;1,MINA(P46:T46)*BS$9,0)</f>
        <v>0</v>
      </c>
      <c r="BT46" s="88">
        <f t="shared" si="513"/>
        <v>0</v>
      </c>
      <c r="BU46" s="88">
        <f t="shared" si="513"/>
        <v>0</v>
      </c>
      <c r="BV46" s="88">
        <f t="shared" si="513"/>
        <v>22.75</v>
      </c>
      <c r="BW46" s="88">
        <f t="shared" si="513"/>
        <v>0</v>
      </c>
      <c r="BX46" s="88">
        <f t="shared" si="513"/>
        <v>0</v>
      </c>
      <c r="BY46" s="88">
        <f t="shared" si="513"/>
        <v>0</v>
      </c>
      <c r="BZ46" s="88">
        <f t="shared" si="513"/>
        <v>0</v>
      </c>
      <c r="CA46" s="88">
        <f t="shared" si="513"/>
        <v>0</v>
      </c>
      <c r="CB46" s="88">
        <f t="shared" si="513"/>
        <v>0</v>
      </c>
      <c r="CC46" s="88">
        <f t="shared" si="513"/>
        <v>0</v>
      </c>
      <c r="CD46" s="103">
        <f>SUM(BM46:CC46)</f>
        <v>40.35</v>
      </c>
      <c r="CE46" s="52"/>
      <c r="CF46" s="107">
        <f>J46</f>
        <v>50.1</v>
      </c>
      <c r="CG46" s="104">
        <f>CD46/CF46</f>
        <v>0.80538922155688619</v>
      </c>
      <c r="CH46" s="53">
        <f>Seilareal/Lwl/Lwl</f>
        <v>0.45442176870748296</v>
      </c>
      <c r="CI46" s="119">
        <f>Seilareal/Depl^0.667/K$7</f>
        <v>0.70899021302464593</v>
      </c>
      <c r="CJ46" s="53">
        <f>Seilareal/Lwl/Lwl/SApRS1</f>
        <v>0.68950290697295202</v>
      </c>
      <c r="CK46" s="209"/>
      <c r="CL46" s="209">
        <f>(ROUND(TBF/CL$6,3)*CL$6)*CL$4</f>
        <v>78.5</v>
      </c>
      <c r="CM46" s="110">
        <f t="shared" si="234"/>
        <v>0.78359404267102628</v>
      </c>
      <c r="CN46" s="64">
        <f>IF(SeilBeregnet=0,"-",(SeilBeregnet)^(1/2)*StHfaktor/(Depl+DeplTillegg/1000+Vann/1000+Diesel/1000*0.84)^(1/3))</f>
        <v>2.4660443060846937</v>
      </c>
      <c r="CO46" s="64">
        <f t="shared" si="203"/>
        <v>1.7634026882977951</v>
      </c>
      <c r="CP46" s="64">
        <f t="shared" si="204"/>
        <v>1.800102871839254</v>
      </c>
      <c r="CQ46" s="110">
        <f t="shared" si="205"/>
        <v>0.99759896686135863</v>
      </c>
      <c r="CR46" s="172" t="str">
        <f t="shared" si="390"/>
        <v>-</v>
      </c>
      <c r="CS46" s="162"/>
      <c r="CT46" s="172" t="str">
        <f t="shared" si="391"/>
        <v>-</v>
      </c>
      <c r="CU46" s="164"/>
      <c r="CV46" s="195" t="s">
        <v>145</v>
      </c>
      <c r="CW46" s="64">
        <v>0.74</v>
      </c>
      <c r="CX46" s="64">
        <v>0.79</v>
      </c>
      <c r="CY46" s="64">
        <v>0.77</v>
      </c>
      <c r="CZ46" s="154"/>
      <c r="DA46" s="64">
        <f t="shared" si="392"/>
        <v>2.0040735049398686</v>
      </c>
      <c r="DB46" s="49">
        <f t="shared" si="393"/>
        <v>12.211221122112212</v>
      </c>
      <c r="DC46" s="50">
        <f t="shared" si="394"/>
        <v>0</v>
      </c>
      <c r="DE46" s="110">
        <f>IF(SeilBeregnet=0,"-",DE$7*(DG:DG+DE$6)*DL:DL*PropF+ErfaringsF+Dyp_F)</f>
        <v>0.77608198336489653</v>
      </c>
      <c r="DF46" s="144" t="str">
        <f t="shared" si="446"/>
        <v>-</v>
      </c>
      <c r="DG46" s="110">
        <f t="shared" si="395"/>
        <v>4.3286689419696174</v>
      </c>
      <c r="DH46" s="136">
        <f t="shared" si="409"/>
        <v>2.5004277780569737</v>
      </c>
      <c r="DI46" s="136">
        <f t="shared" si="410"/>
        <v>0</v>
      </c>
      <c r="DJ46" s="136">
        <f t="shared" si="411"/>
        <v>0</v>
      </c>
      <c r="DK46" s="136">
        <f t="shared" si="412"/>
        <v>1.8282411639126435</v>
      </c>
      <c r="DL46" s="110">
        <f t="shared" si="413"/>
        <v>1.800102871839254</v>
      </c>
      <c r="DM46" s="136">
        <f t="shared" si="414"/>
        <v>1.9470448393802795</v>
      </c>
      <c r="DO46" s="110">
        <f t="shared" si="467"/>
        <v>0.79958575782757779</v>
      </c>
      <c r="DP46" s="110">
        <f t="shared" si="396"/>
        <v>0.75204784654180423</v>
      </c>
      <c r="DR46" s="110">
        <f t="shared" si="397"/>
        <v>0.78512152636787202</v>
      </c>
      <c r="DS46" s="125" t="str">
        <f t="shared" si="447"/>
        <v>-</v>
      </c>
      <c r="DT46" s="110">
        <f t="shared" si="398"/>
        <v>0.75985175481920197</v>
      </c>
      <c r="DU46" s="125" t="str">
        <f t="shared" si="448"/>
        <v>-</v>
      </c>
      <c r="DV46" s="110">
        <f t="shared" si="415"/>
        <v>2.500217954862535</v>
      </c>
      <c r="DW46" s="110">
        <f t="shared" si="416"/>
        <v>2.1895879451208748</v>
      </c>
      <c r="DX46" s="110">
        <f t="shared" si="417"/>
        <v>1.579185865474966</v>
      </c>
      <c r="DZ46" s="110">
        <f t="shared" si="399"/>
        <v>0.77552528630839146</v>
      </c>
      <c r="EB46" s="110">
        <f t="shared" si="418"/>
        <v>2.500217954862535</v>
      </c>
      <c r="EC46" s="110">
        <f t="shared" si="419"/>
        <v>2.1897424068563001</v>
      </c>
      <c r="ED46" s="110">
        <f t="shared" si="420"/>
        <v>1.8388707573234102</v>
      </c>
      <c r="EE46" s="110">
        <f t="shared" si="400"/>
        <v>0.76018375917284309</v>
      </c>
      <c r="EG46" s="110">
        <f t="shared" si="421"/>
        <v>3.9483088549256418</v>
      </c>
      <c r="EH46" s="110">
        <f t="shared" si="422"/>
        <v>2.500217954862535</v>
      </c>
      <c r="EI46" s="110">
        <f t="shared" si="423"/>
        <v>1.579185865474966</v>
      </c>
      <c r="EJ46" s="110">
        <f t="shared" si="424"/>
        <v>1.800102871839254</v>
      </c>
      <c r="EK46" s="110">
        <f>IF(SeilBeregnet=0,"-",EK$7*(EK$4*EM:EM+EK$6)*EP:EP*PropF+ErfaringsF+Dyp_F)</f>
        <v>0.75903602583942786</v>
      </c>
      <c r="EM46" s="110">
        <f>IF(SeilBeregnet=0,EM45,(EN:EN*EO:EO)^EM$3)</f>
        <v>1.5883150557396459</v>
      </c>
      <c r="EN46" s="110">
        <f t="shared" si="425"/>
        <v>2.500217954862535</v>
      </c>
      <c r="EO46" s="110">
        <f t="shared" si="426"/>
        <v>1.0090099190684112</v>
      </c>
      <c r="EP46" s="110">
        <f t="shared" si="427"/>
        <v>1.8215740458755476</v>
      </c>
      <c r="EQ46" s="110">
        <f>IF(SeilBeregnet=0,"-",EQ$7*(ES:ES+EQ$6)*EV:EV*PropF+ErfaringsF+Dyp_F)</f>
        <v>0.78075396519255191</v>
      </c>
      <c r="ES46" s="110">
        <f>(ET:ET*EU:EU)^ES$3</f>
        <v>1.5883817015987292</v>
      </c>
      <c r="ET46" s="110">
        <f t="shared" si="428"/>
        <v>2.5004277780569737</v>
      </c>
      <c r="EU46" s="110">
        <f t="shared" si="429"/>
        <v>1.0090099190684112</v>
      </c>
      <c r="EV46" s="110">
        <f t="shared" si="430"/>
        <v>1.8215740458755476</v>
      </c>
      <c r="EW46" s="110">
        <f>IF(SeilBeregnet=0,"-",EW$7*(EY:EY+EW$6)*FB:FB*PropF+ErfaringsF+Dyp_F)</f>
        <v>0.78519423259919319</v>
      </c>
      <c r="EX46" s="144" t="str">
        <f t="shared" si="449"/>
        <v>-</v>
      </c>
      <c r="EY46" s="110">
        <f>(EZ:EZ*FA:FA)^EY$3</f>
        <v>2.5456880632208647</v>
      </c>
      <c r="EZ46" s="136">
        <f t="shared" si="431"/>
        <v>2.5004277780569737</v>
      </c>
      <c r="FA46" s="136">
        <f t="shared" si="432"/>
        <v>1.0181010167784417</v>
      </c>
      <c r="FB46" s="110">
        <f t="shared" si="433"/>
        <v>1.0243463628900011</v>
      </c>
      <c r="FC46" s="110">
        <f>IF(SeilBeregnet=0,"-",FC$7*(FE:FE+FC$6)*FI:FI*PropF+ErfaringsF+Dyp_F)</f>
        <v>0.75555002607530886</v>
      </c>
      <c r="FD46" s="144" t="str">
        <f t="shared" si="450"/>
        <v>-</v>
      </c>
      <c r="FE46" s="110">
        <f>(FF:FF+FG:FG+FH:FH)^FE$3+FE$7</f>
        <v>4.4336370358041792</v>
      </c>
      <c r="FF46" s="136">
        <f t="shared" si="434"/>
        <v>2.5004277780569737</v>
      </c>
      <c r="FG46" s="136">
        <f t="shared" si="435"/>
        <v>0.60496809383456185</v>
      </c>
      <c r="FH46" s="136">
        <f t="shared" si="436"/>
        <v>1.8282411639126435</v>
      </c>
      <c r="FI46" s="110">
        <f t="shared" si="437"/>
        <v>1.800102871839254</v>
      </c>
      <c r="FJ46" s="110">
        <f>IF(SeilBeregnet=0,"-",FJ$7*(FL:FL+FJ$6)*FO:FO*PropF+ErfaringsF+Dyp_F)</f>
        <v>0.7911998595180264</v>
      </c>
      <c r="FK46" s="144" t="str">
        <f t="shared" si="451"/>
        <v>-</v>
      </c>
      <c r="FL46" s="110">
        <f>(FM:FM*FN:FN)^FL$3</f>
        <v>4.5713849912343862</v>
      </c>
      <c r="FM46" s="136">
        <f t="shared" si="438"/>
        <v>2.5004277780569737</v>
      </c>
      <c r="FN46" s="136">
        <f t="shared" si="439"/>
        <v>1.8282411639126435</v>
      </c>
      <c r="FO46" s="110">
        <f t="shared" si="440"/>
        <v>1.800102871839254</v>
      </c>
      <c r="FQ46">
        <v>0.95</v>
      </c>
      <c r="FR46" s="64">
        <f t="shared" si="452"/>
        <v>1.0037424965212001</v>
      </c>
      <c r="FS46" s="479"/>
      <c r="FT46" s="18"/>
      <c r="FU46" s="481"/>
      <c r="FV46" s="504"/>
      <c r="FW46" s="18"/>
      <c r="FX46" s="18"/>
      <c r="FY46" s="18"/>
      <c r="FZ46" s="18"/>
      <c r="GB46" s="18"/>
      <c r="GC46" s="481"/>
      <c r="GD46" s="8"/>
      <c r="GE46" s="8"/>
      <c r="GF46" s="8"/>
      <c r="GG46" s="8"/>
      <c r="GI46" s="18"/>
      <c r="GJ46" s="18"/>
      <c r="GK46" s="18"/>
      <c r="GL46" s="18"/>
      <c r="GM46" s="18"/>
      <c r="GN46" s="18"/>
      <c r="GO46" s="18"/>
      <c r="GP46" s="18"/>
    </row>
    <row r="47" spans="1:198" ht="15.6" x14ac:dyDescent="0.3">
      <c r="A47" s="54" t="s">
        <v>70</v>
      </c>
      <c r="B47" s="223">
        <f t="shared" ref="B47" si="528">Loa/0.3048</f>
        <v>46.981627296587924</v>
      </c>
      <c r="C47" s="55" t="s">
        <v>22</v>
      </c>
      <c r="D47" s="55"/>
      <c r="E47" s="55"/>
      <c r="F47" s="55"/>
      <c r="G47" s="56"/>
      <c r="H47" s="209"/>
      <c r="I47" s="126" t="str">
        <f>A47</f>
        <v>RAAK</v>
      </c>
      <c r="J47" s="229"/>
      <c r="K47" s="119"/>
      <c r="L47" s="119"/>
      <c r="M47" s="95"/>
      <c r="N47" s="265"/>
      <c r="O47" s="169"/>
      <c r="P47" s="169"/>
      <c r="Q47" s="169">
        <v>41</v>
      </c>
      <c r="R47" s="169">
        <v>32.5</v>
      </c>
      <c r="S47" s="169">
        <v>15</v>
      </c>
      <c r="T47" s="169">
        <v>26.7</v>
      </c>
      <c r="U47" s="169">
        <v>87</v>
      </c>
      <c r="V47" s="181">
        <f>StorS-8.7*2</f>
        <v>69.599999999999994</v>
      </c>
      <c r="W47" s="181">
        <f>StorS-8.7*2-8*2</f>
        <v>53.599999999999994</v>
      </c>
      <c r="X47" s="181">
        <f>StorS-8.7*2-8*2-7.5*2</f>
        <v>38.599999999999994</v>
      </c>
      <c r="Y47" s="169">
        <v>21.5</v>
      </c>
      <c r="Z47" s="169">
        <v>20</v>
      </c>
      <c r="AA47" s="169"/>
      <c r="AB47" s="169"/>
      <c r="AC47" s="169"/>
      <c r="AD47" s="169"/>
      <c r="AE47" s="270">
        <v>15.6</v>
      </c>
      <c r="AF47" s="296"/>
      <c r="AG47" s="377"/>
      <c r="AH47" s="296"/>
      <c r="AI47" s="377"/>
      <c r="AJ47" s="296" t="s">
        <v>237</v>
      </c>
      <c r="AK47" s="47">
        <f>VLOOKUP(AJ47,Skrogform!$1:$1048576,3,FALSE)</f>
        <v>0.98</v>
      </c>
      <c r="AL47" s="57">
        <v>14.32</v>
      </c>
      <c r="AM47" s="57">
        <v>12.45</v>
      </c>
      <c r="AN47" s="57">
        <v>3.85</v>
      </c>
      <c r="AO47" s="57">
        <v>2.2999999999999998</v>
      </c>
      <c r="AP47" s="57">
        <v>23</v>
      </c>
      <c r="AQ47" s="57">
        <v>7</v>
      </c>
      <c r="AR47" s="57">
        <v>2.5</v>
      </c>
      <c r="AS47" s="281">
        <v>85</v>
      </c>
      <c r="AT47" s="281">
        <v>250</v>
      </c>
      <c r="AU47" s="281">
        <f>ROUND(Depl*10,-2)</f>
        <v>200</v>
      </c>
      <c r="AV47" s="281">
        <f>ROUND(Depl*10,-2)</f>
        <v>200</v>
      </c>
      <c r="AW47" s="270">
        <f>Depl+Diesel/1000+Vann/1000</f>
        <v>23.4</v>
      </c>
      <c r="AX47" s="281"/>
      <c r="AY47" s="98">
        <f>Bredde/(Loa+Lwl)*2</f>
        <v>0.28763541277549498</v>
      </c>
      <c r="AZ47" s="98">
        <f>(Kjøl+Ballast)/Depl</f>
        <v>0.41304347826086957</v>
      </c>
      <c r="BA47" s="288">
        <f>BA$7*((Depl-Kjøl-Ballast-VektMotor/1000-VektAnnet/1000)/Loa/Lwl/Bredde)</f>
        <v>0.83523539942991654</v>
      </c>
      <c r="BB47" s="98">
        <f>BB$7*(Depl/Loa/Lwl/Lwl)</f>
        <v>0.77809795624662259</v>
      </c>
      <c r="BC47" s="178">
        <f>BC$7*(Depl/Loa/Lwl/Bredde)</f>
        <v>0.93006908372406427</v>
      </c>
      <c r="BD47" s="98">
        <f>BD$7*Bredde/(Loa+Lwl)*2</f>
        <v>0.8205341398853635</v>
      </c>
      <c r="BE47" s="98">
        <f>BE$7*(Dypg/Lwl)</f>
        <v>1.010441767068273</v>
      </c>
      <c r="BF47" s="58" t="s">
        <v>24</v>
      </c>
      <c r="BG47" s="296">
        <v>4</v>
      </c>
      <c r="BH47" s="296">
        <v>53</v>
      </c>
      <c r="BI47" s="47">
        <f t="shared" si="464"/>
        <v>1</v>
      </c>
      <c r="BJ47" s="61"/>
      <c r="BK47" s="61"/>
      <c r="BM47" s="214"/>
      <c r="BN47" s="214" t="str">
        <f>$A47</f>
        <v>RAAK</v>
      </c>
      <c r="BO47" s="10"/>
      <c r="BP47" s="10"/>
      <c r="BQ47" s="10"/>
      <c r="BR47" s="10"/>
      <c r="BS47" s="52"/>
      <c r="BT47" s="214" t="str">
        <f>$A47</f>
        <v>RAAK</v>
      </c>
      <c r="BU47" s="10"/>
      <c r="BV47" s="10"/>
      <c r="BW47" s="10"/>
      <c r="BX47" s="10"/>
      <c r="BY47" s="10"/>
      <c r="BZ47" s="10"/>
      <c r="CA47" s="10"/>
      <c r="CB47" s="10"/>
      <c r="CC47" s="10"/>
      <c r="CD47" s="214"/>
      <c r="CE47" s="10"/>
      <c r="CF47" s="214" t="str">
        <f>$A47</f>
        <v>RAAK</v>
      </c>
      <c r="CG47" s="212"/>
      <c r="CH47" s="212"/>
      <c r="CI47" s="119"/>
      <c r="CJ47" s="212"/>
      <c r="CK47" s="208"/>
      <c r="CL47" s="208" t="s">
        <v>26</v>
      </c>
      <c r="CM47" s="110" t="str">
        <f t="shared" si="234"/>
        <v>-</v>
      </c>
      <c r="CN47" s="64" t="str">
        <f>IF(SeilBeregnet=0,"-",(SeilBeregnet)^(1/2)*StHfaktor/(Depl+DeplTillegg/1000+Vann/1000+Diesel/1000*0.84)^(1/3))</f>
        <v>-</v>
      </c>
      <c r="CO47" s="64" t="str">
        <f t="shared" si="203"/>
        <v>-</v>
      </c>
      <c r="CP47" s="64" t="str">
        <f t="shared" si="204"/>
        <v>-</v>
      </c>
      <c r="CQ47" s="110" t="str">
        <f t="shared" si="205"/>
        <v>-</v>
      </c>
      <c r="CR47" s="172">
        <f t="shared" ref="CR47:CR60" si="529">IF(CS47=0,"-",IF(CH47="TBF","-",CR$7*CS47))</f>
        <v>1.2009411764705882</v>
      </c>
      <c r="CS47" s="162">
        <v>1.1599999999999999</v>
      </c>
      <c r="CT47" s="172" t="str">
        <f t="shared" ref="CT47:CT60" si="530">IF(CU47=0,"-",IF(CL47="TBF","-",CT$7*CU47))</f>
        <v>-</v>
      </c>
      <c r="CU47" s="164">
        <v>1.41</v>
      </c>
      <c r="CV47" s="195" t="s">
        <v>145</v>
      </c>
      <c r="CW47" s="30" t="s">
        <v>26</v>
      </c>
      <c r="CX47" s="30" t="s">
        <v>26</v>
      </c>
      <c r="CY47" s="30" t="s">
        <v>26</v>
      </c>
      <c r="CZ47" s="153">
        <v>2022</v>
      </c>
      <c r="DA47" s="64" t="str">
        <f t="shared" si="210"/>
        <v>-</v>
      </c>
      <c r="DB47" s="49">
        <f t="shared" si="206"/>
        <v>13.294797687861271</v>
      </c>
      <c r="DC47" s="50">
        <f t="shared" ref="DC47:DC60" si="531">DB$7*IF(DB47&lt;DB$5,-0.04,IF(DB47&lt;DB$5*1.1,-0.03,IF(DB47&lt;DB$5*1.2,-0.02,IF(DB47&lt;DB$5*1.3,-0.01,0))))</f>
        <v>0</v>
      </c>
      <c r="DE47" s="110" t="str">
        <f>IF(SeilBeregnet=0,"-",DE$7*(DG:DG+DE$6)*DL:DL*PropF+ErfaringsF+Dyp_F)</f>
        <v>-</v>
      </c>
      <c r="DF47" s="144" t="str">
        <f t="shared" ref="DF47:DF60" si="532">IF($DQ47=0,"-",(DE47-$DO47)*100)</f>
        <v>-</v>
      </c>
      <c r="DG47" s="110">
        <f t="shared" ref="DG47:DG60" si="533">SUM(DH47:DK47)^DG$3+DG$7</f>
        <v>4.7683749612742465</v>
      </c>
      <c r="DH47" s="136">
        <f>IF(SeilBeregnet=0,DH185,(SeilBeregnet^0.5/(Depl^0.3333))^DH$3*DH$7)</f>
        <v>2.9373916189141913</v>
      </c>
      <c r="DI47" s="136">
        <f>IF(SeilBeregnet=0,DI185,(SeilBeregnet^0.5/Lwl)^DI$3*DI$7)</f>
        <v>0</v>
      </c>
      <c r="DJ47" s="136">
        <f>IF(SeilBeregnet=0,DJ185,(0.1*Loa/Depl^0.3333)^DJ$3*DJ$7)</f>
        <v>0</v>
      </c>
      <c r="DK47" s="136">
        <f>IF(SeilBeregnet=0,DK185,((Loa)/Bredde)^DK$3*DK$7)</f>
        <v>1.8309833423600554</v>
      </c>
      <c r="DL47" s="110">
        <f>IF(SeilBeregnet=0,DL185,(Lwl)^DL$3)</f>
        <v>1.8612097182041991</v>
      </c>
      <c r="DM47" s="136">
        <f>IF(SeilBeregnet=0,DM185,(Dypg/Loa)^DM$3*5*DM$7)</f>
        <v>2.0251955098445942</v>
      </c>
      <c r="DO47" s="110" t="str">
        <f t="shared" si="467"/>
        <v>-</v>
      </c>
      <c r="DP47" s="110" t="str">
        <f t="shared" si="211"/>
        <v>-</v>
      </c>
      <c r="DR47" s="110" t="str">
        <f t="shared" si="212"/>
        <v>-</v>
      </c>
      <c r="DS47" s="125" t="str">
        <f t="shared" ref="DS47:DS60" si="534">IF($DQ47=0,"-",DR47-$DO47)</f>
        <v>-</v>
      </c>
      <c r="DT47" s="110" t="str">
        <f t="shared" ref="DT47:DT60" si="535">IF(SeilBeregnet=0,"-",DT$7*(DT$4*DV47*DW47*DX47*PropF+DT$6)+ErfaringsF+Dyp_F)</f>
        <v>-</v>
      </c>
      <c r="DU47" s="125" t="str">
        <f t="shared" ref="DU47:DU60" si="536">IF($DQ47=0,"-",DT47-$DO47)</f>
        <v>-</v>
      </c>
      <c r="DV47" s="110">
        <f>IF(SeilBeregnet=0,DV26,SeilBeregnet^0.5/Depl^0.33333)</f>
        <v>3.5967374089001618</v>
      </c>
      <c r="DW47" s="110">
        <f>IF(SeilBeregnet=0,DW26,Lwl^0.3333)</f>
        <v>2.2305201393117833</v>
      </c>
      <c r="DX47" s="110">
        <f>IF(SeilBeregnet=0,DX26,((Loa+Lwl)/Bredde)^DX$3)</f>
        <v>1.5733789064132366</v>
      </c>
      <c r="DZ47" s="110" t="str">
        <f t="shared" ref="DZ47:DZ60" si="537">IF(SeilBeregnet=0,"-",DZ$7*(DZ$4*EB47*EC47*ED47*PropF+DZ$6)+ErfaringsF+Dyp_F)</f>
        <v>-</v>
      </c>
      <c r="EB47" s="110">
        <f>IF(SeilBeregnet=0,EB26,SeilBeregnet^0.5/Depl^0.33333)</f>
        <v>3.5967374089001618</v>
      </c>
      <c r="EC47" s="110">
        <f>IF(SeilBeregnet=0,EC26,Lwl^EC$3)</f>
        <v>2.2306812073130904</v>
      </c>
      <c r="ED47" s="110">
        <f>IF(SeilBeregnet=0,ED26,((Loa+Lwl)/Bredde)^ED$3)</f>
        <v>1.8298613614330996</v>
      </c>
      <c r="EE47" s="110" t="str">
        <f t="shared" ref="EE47:EE60" si="538">IF(SeilBeregnet=0,"-",EE$7*(EE$4*EG47+EE$6)*EJ47*PropF+ErfaringsF+Dyp_F)</f>
        <v>-</v>
      </c>
      <c r="EG47" s="110">
        <f>IF(SeilBeregnet=0,EG26,(EH47*EI47)^EG$3)</f>
        <v>5.6590307710709151</v>
      </c>
      <c r="EH47" s="110">
        <f>IF(SeilBeregnet=0,EH26,SeilBeregnet^0.5/Depl^0.33333)</f>
        <v>3.5967374089001618</v>
      </c>
      <c r="EI47" s="110">
        <f>IF(SeilBeregnet=0,EI26,((Loa+Lwl)/Bredde)^EI$3)</f>
        <v>1.5733789064132366</v>
      </c>
      <c r="EJ47" s="110">
        <f>IF(SeilBeregnet=0,EJ26,Lwl^EJ$3)</f>
        <v>1.8252852516227529</v>
      </c>
      <c r="EK47" s="110" t="str">
        <f>IF(SeilBeregnet=0,"-",EK$7*(EK$4*EM:EM+EK$6)*EP:EP*PropF+ErfaringsF+Dyp_F)</f>
        <v>-</v>
      </c>
      <c r="EM47" s="110">
        <f>IF(SeilBeregnet=0,EM26,(EN:EN*EO:EO)^EM$3)</f>
        <v>1.9015253582040992</v>
      </c>
      <c r="EN47" s="110">
        <f>IF(SeilBeregnet=0,EN26,SeilBeregnet^0.5/Depl^0.33333)</f>
        <v>3.5967374089001618</v>
      </c>
      <c r="EO47" s="110">
        <f>IF(SeilBeregnet=0,EO26,((Loa+Lwl)/Bredde/6)^EO$3)</f>
        <v>1.0052996026192789</v>
      </c>
      <c r="EP47" s="110">
        <f>IF(SeilBeregnet=0,EP26,(Lwl*0.7+Loa*0.3)^EP$3)</f>
        <v>1.8458995117503456</v>
      </c>
      <c r="EQ47" s="110" t="str">
        <f>IF(SeilBeregnet=0,"-",EQ$7*(ES:ES+EQ$6)*EV:EV*PropF+ErfaringsF+Dyp_F)</f>
        <v>-</v>
      </c>
      <c r="ES47" s="110">
        <f>(ET:ET*EU:EU)^ES$3</f>
        <v>1.9016078017191635</v>
      </c>
      <c r="ET47" s="110">
        <f>IF(SeilBeregnet=0,ET26,SeilBeregnet^0.5/Depl^0.3333)</f>
        <v>3.5970492996689885</v>
      </c>
      <c r="EU47" s="110">
        <f>IF(SeilBeregnet=0,EU26,((Loa+Lwl)/Bredde/6)^EU$3)</f>
        <v>1.0052996026192789</v>
      </c>
      <c r="EV47" s="110">
        <f>IF(SeilBeregnet=0,EV26,(Lwl*0.7+Loa*0.3)^EV$3)</f>
        <v>1.8458995117503456</v>
      </c>
      <c r="EW47" s="110" t="str">
        <f>IF(SeilBeregnet=0,"-",EW$7*(EY:EY+EW$6)*FB:FB*PropF+ErfaringsF+Dyp_F)</f>
        <v>-</v>
      </c>
      <c r="EX47" s="144" t="str">
        <f t="shared" ref="EX47:EX60" si="539">IF($DQ47=0,"-",(EW47-$DO47)*100)</f>
        <v>-</v>
      </c>
      <c r="EY47" s="110">
        <f>(EZ:EZ*FA:FA)^EY$3</f>
        <v>3.6352761894131667</v>
      </c>
      <c r="EZ47" s="136">
        <f>IF(SeilBeregnet=0,EZ26,(SeilBeregnet^0.5/(Depl^0.3333))^EZ$3)</f>
        <v>3.5970492996689885</v>
      </c>
      <c r="FA47" s="136">
        <f>IF(SeilBeregnet=0,FA26,((Loa+Lwl)/Bredde/6)^FA$3)</f>
        <v>1.01062729102648</v>
      </c>
      <c r="FB47" s="110">
        <f>IF(SeilBeregnet=0,FB26,(Lwl*0.07+Loa*0.03)^FB$3)</f>
        <v>1.0380255776059077</v>
      </c>
      <c r="FC47" s="110" t="str">
        <f>IF(SeilBeregnet=0,"-",FC$7*(FE:FE+FC$6)*FI:FI*PropF+ErfaringsF+Dyp_F)</f>
        <v>-</v>
      </c>
      <c r="FD47" s="144" t="str">
        <f t="shared" ref="FD47:FD60" si="540">IF($DQ47=0,"-",(FC47-$DO47)*100)</f>
        <v>-</v>
      </c>
      <c r="FE47" s="110">
        <f>(FF:FF+FG:FG+FH:FH)^FE$3+FE$7</f>
        <v>5.7578842475812779</v>
      </c>
      <c r="FF47" s="136">
        <f>IF(SeilBeregnet=0,FF26,(SeilBeregnet^0.5/(Depl^0.3333))^FF$3)</f>
        <v>3.5970492996689885</v>
      </c>
      <c r="FG47" s="136">
        <f>IF(SeilBeregnet=0,FG26,(SeilBeregnet^0.5/Lwl*FG$7)^FG$3)</f>
        <v>0.8491916932809358</v>
      </c>
      <c r="FH47" s="136">
        <f>IF(SeilBeregnet=0,FH26,((Loa)/Bredde)^FH$3*FH$7)</f>
        <v>1.8116432546313532</v>
      </c>
      <c r="FI47" s="110">
        <f>IF(SeilBeregnet=0,FI26,(Lwl)^FI$3)</f>
        <v>1.8252852516227529</v>
      </c>
      <c r="FJ47" s="110" t="str">
        <f>IF(SeilBeregnet=0,"-",FJ$7*(FL:FL+FJ$6)*FO:FO*PropF+ErfaringsF+Dyp_F)</f>
        <v>-</v>
      </c>
      <c r="FK47" s="144" t="str">
        <f t="shared" ref="FK47:FK60" si="541">IF($DQ47=0,"-",(FJ47-$DO47)*100)</f>
        <v>-</v>
      </c>
      <c r="FL47" s="110">
        <f>(FM:FM*FN:FN)^FL$3</f>
        <v>6.516570100321756</v>
      </c>
      <c r="FM47" s="136">
        <f>IF(SeilBeregnet=0,FM26,(SeilBeregnet^0.5/(Depl^0.3333))^FM$3)</f>
        <v>3.5970492996689885</v>
      </c>
      <c r="FN47" s="136">
        <f>IF(SeilBeregnet=0,FN26,(Loa/Bredde)^FN$3)</f>
        <v>1.8116432546313532</v>
      </c>
      <c r="FO47" s="110">
        <f>IF(SeilBeregnet=0,FO26,Lwl^FO$3)</f>
        <v>1.8252852516227529</v>
      </c>
      <c r="FQ47">
        <v>0.95</v>
      </c>
      <c r="FR47" s="64" t="str">
        <f t="shared" ref="FR47:FR55" si="542">IF(SeilBeregnet=0,"-",0.06*2.43^(1/2)*(SeilBeregnet^(1/2)/Depl^(1/3)+(Loa/Bredde)^(1/2)+5*(Dypg/Loa)^(1/2))*Lwl^(1/4)*FQ47)</f>
        <v>-</v>
      </c>
      <c r="FS47" s="480" t="s">
        <v>494</v>
      </c>
      <c r="FT47" s="59" t="s">
        <v>551</v>
      </c>
      <c r="FU47" s="475" t="s">
        <v>552</v>
      </c>
      <c r="FV47" s="542" t="s">
        <v>690</v>
      </c>
      <c r="FW47" s="59" t="s">
        <v>553</v>
      </c>
      <c r="FX47" s="59" t="s">
        <v>790</v>
      </c>
      <c r="FY47" s="59" t="s">
        <v>455</v>
      </c>
      <c r="FZ47" s="59" t="s">
        <v>518</v>
      </c>
      <c r="GB47" s="59" t="s">
        <v>788</v>
      </c>
      <c r="GC47" s="475" t="s">
        <v>522</v>
      </c>
      <c r="GD47" s="60" t="s">
        <v>522</v>
      </c>
      <c r="GE47" s="60" t="s">
        <v>522</v>
      </c>
      <c r="GF47" s="60" t="s">
        <v>522</v>
      </c>
      <c r="GG47" s="60" t="s">
        <v>522</v>
      </c>
      <c r="GI47" s="59" t="s">
        <v>233</v>
      </c>
      <c r="GJ47" s="59" t="s">
        <v>554</v>
      </c>
      <c r="GK47" s="59" t="s">
        <v>555</v>
      </c>
      <c r="GL47" s="59" t="s">
        <v>791</v>
      </c>
      <c r="GM47" s="59">
        <v>1914</v>
      </c>
      <c r="GN47" s="59" t="s">
        <v>470</v>
      </c>
      <c r="GO47" s="59" t="s">
        <v>477</v>
      </c>
      <c r="GP47" s="59" t="s">
        <v>522</v>
      </c>
    </row>
    <row r="48" spans="1:198" ht="15.6" x14ac:dyDescent="0.3">
      <c r="A48" s="62" t="s">
        <v>31</v>
      </c>
      <c r="B48" s="223"/>
      <c r="C48" s="63" t="str">
        <f>C47</f>
        <v>Gaffel</v>
      </c>
      <c r="D48" s="63"/>
      <c r="E48" s="63"/>
      <c r="F48" s="63"/>
      <c r="G48" s="56"/>
      <c r="H48" s="209">
        <f t="shared" ref="H48:H55" si="543">TBFavrundet</f>
        <v>120</v>
      </c>
      <c r="I48" s="65">
        <f t="shared" ref="I48:I55" si="544">COUNTA(O48:AD48)</f>
        <v>4</v>
      </c>
      <c r="J48" s="228">
        <f t="shared" ref="J48:J55" si="545">SUM(O48:AD48)</f>
        <v>176.2</v>
      </c>
      <c r="K48" s="119">
        <f t="shared" ref="K48:K55" si="546">Seilareal/Depl^0.667/K$7</f>
        <v>1.9899254132567601</v>
      </c>
      <c r="L48" s="119">
        <f t="shared" ref="L48:L55" si="547">Seilareal/Lwl/Lwl/L$7</f>
        <v>1.7248215713218864</v>
      </c>
      <c r="M48" s="95">
        <f t="shared" ref="M48:M55" si="548">RiggF</f>
        <v>0.79477866061294</v>
      </c>
      <c r="N48" s="265">
        <f t="shared" ref="N48:N55" si="549">StHfaktor</f>
        <v>1.0285949928485048</v>
      </c>
      <c r="O48" s="147"/>
      <c r="P48" s="147"/>
      <c r="Q48" s="88">
        <f t="shared" ref="Q48:Q49" si="550">Q47</f>
        <v>41</v>
      </c>
      <c r="R48" s="147"/>
      <c r="S48" s="147"/>
      <c r="T48" s="88">
        <f t="shared" ref="T48:U48" si="551">T47</f>
        <v>26.7</v>
      </c>
      <c r="U48" s="88">
        <f t="shared" si="551"/>
        <v>87</v>
      </c>
      <c r="V48" s="148"/>
      <c r="W48" s="148"/>
      <c r="X48" s="148"/>
      <c r="Y48" s="169">
        <v>21.5</v>
      </c>
      <c r="Z48" s="147"/>
      <c r="AA48" s="147"/>
      <c r="AB48" s="147"/>
      <c r="AC48" s="147"/>
      <c r="AD48" s="148"/>
      <c r="AE48" s="260">
        <f>AE47</f>
        <v>15.6</v>
      </c>
      <c r="AF48" s="375">
        <f t="shared" ref="AF48:AH48" si="552" xml:space="preserve"> AF47</f>
        <v>0</v>
      </c>
      <c r="AG48" s="377"/>
      <c r="AH48" s="375">
        <f t="shared" si="552"/>
        <v>0</v>
      </c>
      <c r="AI48" s="377"/>
      <c r="AJ48" s="295" t="str">
        <f t="shared" ref="AJ48" si="553" xml:space="preserve"> AJ47</f>
        <v>Lystb</v>
      </c>
      <c r="AK48" s="47">
        <f>VLOOKUP(AJ48,Skrogform!$1:$1048576,3,FALSE)</f>
        <v>0.98</v>
      </c>
      <c r="AL48" s="66">
        <f>AL47</f>
        <v>14.32</v>
      </c>
      <c r="AM48" s="66">
        <f t="shared" ref="AM48:AT48" si="554">AM47</f>
        <v>12.45</v>
      </c>
      <c r="AN48" s="66">
        <f t="shared" si="554"/>
        <v>3.85</v>
      </c>
      <c r="AO48" s="66">
        <f t="shared" si="554"/>
        <v>2.2999999999999998</v>
      </c>
      <c r="AP48" s="66">
        <f t="shared" si="554"/>
        <v>23</v>
      </c>
      <c r="AQ48" s="66">
        <f t="shared" si="554"/>
        <v>7</v>
      </c>
      <c r="AR48" s="66">
        <f t="shared" si="554"/>
        <v>2.5</v>
      </c>
      <c r="AS48" s="284">
        <f t="shared" si="554"/>
        <v>85</v>
      </c>
      <c r="AT48" s="284">
        <f t="shared" si="554"/>
        <v>250</v>
      </c>
      <c r="AU48" s="284">
        <f t="shared" ref="AU48:AV48" si="555">AU47</f>
        <v>200</v>
      </c>
      <c r="AV48" s="284">
        <f t="shared" si="555"/>
        <v>200</v>
      </c>
      <c r="AW48" s="284"/>
      <c r="AX48" s="284">
        <f t="shared" ref="AX48:AX55" si="556">AX47</f>
        <v>0</v>
      </c>
      <c r="AY48" s="68"/>
      <c r="AZ48" s="68"/>
      <c r="BA48" s="289"/>
      <c r="BB48" s="68"/>
      <c r="BC48" s="179"/>
      <c r="BD48" s="68"/>
      <c r="BE48" s="68"/>
      <c r="BF48" s="67" t="str">
        <f t="shared" ref="BF48:BH48" si="557" xml:space="preserve"> BF47</f>
        <v>Seilrett</v>
      </c>
      <c r="BG48" s="295">
        <f t="shared" si="557"/>
        <v>4</v>
      </c>
      <c r="BH48" s="295">
        <f t="shared" si="557"/>
        <v>53</v>
      </c>
      <c r="BI48" s="47">
        <f t="shared" si="464"/>
        <v>1</v>
      </c>
      <c r="BJ48" s="61"/>
      <c r="BK48" s="61"/>
      <c r="BM48" s="51">
        <f t="shared" ref="BM48:BR55" si="558">IF(O48=0,0,O48*BM$9)</f>
        <v>0</v>
      </c>
      <c r="BN48" s="51">
        <f t="shared" si="558"/>
        <v>0</v>
      </c>
      <c r="BO48" s="51">
        <f t="shared" si="558"/>
        <v>41</v>
      </c>
      <c r="BP48" s="51">
        <f t="shared" si="558"/>
        <v>0</v>
      </c>
      <c r="BQ48" s="51">
        <f t="shared" si="558"/>
        <v>0</v>
      </c>
      <c r="BR48" s="51">
        <f t="shared" si="558"/>
        <v>26.7</v>
      </c>
      <c r="BS48" s="52">
        <f t="shared" ref="BS48:BS55" si="559">IF(COUNT(P48:T48)&gt;1,MINA(P48:T48)*BS$9,0)</f>
        <v>-8.01</v>
      </c>
      <c r="BT48" s="88">
        <f t="shared" ref="BT48:CC55" si="560">IF(U48=0,0,U48*BT$9)</f>
        <v>69.600000000000009</v>
      </c>
      <c r="BU48" s="88">
        <f t="shared" si="560"/>
        <v>0</v>
      </c>
      <c r="BV48" s="88">
        <f t="shared" si="560"/>
        <v>0</v>
      </c>
      <c r="BW48" s="88">
        <f t="shared" si="560"/>
        <v>0</v>
      </c>
      <c r="BX48" s="88">
        <f t="shared" si="560"/>
        <v>10.75</v>
      </c>
      <c r="BY48" s="88">
        <f t="shared" si="560"/>
        <v>0</v>
      </c>
      <c r="BZ48" s="88">
        <f t="shared" si="560"/>
        <v>0</v>
      </c>
      <c r="CA48" s="88">
        <f t="shared" si="560"/>
        <v>0</v>
      </c>
      <c r="CB48" s="88">
        <f t="shared" si="560"/>
        <v>0</v>
      </c>
      <c r="CC48" s="88">
        <f t="shared" si="560"/>
        <v>0</v>
      </c>
      <c r="CD48" s="103">
        <f t="shared" ref="CD48:CD55" si="561">SUM(BM48:CC48)</f>
        <v>140.04000000000002</v>
      </c>
      <c r="CE48" s="52"/>
      <c r="CF48" s="107">
        <f t="shared" ref="CF48:CF55" si="562">J48</f>
        <v>176.2</v>
      </c>
      <c r="CG48" s="104">
        <f t="shared" ref="CG48:CG55" si="563">CD48/CF48</f>
        <v>0.79477866061294</v>
      </c>
      <c r="CH48" s="53">
        <f t="shared" ref="CH48:CH55" si="564">Seilareal/Lwl/Lwl</f>
        <v>1.1367558587764715</v>
      </c>
      <c r="CI48" s="119">
        <f t="shared" ref="CI48:CI55" si="565">Seilareal/Depl^0.667/K$7</f>
        <v>1.9899254132567601</v>
      </c>
      <c r="CJ48" s="53">
        <f t="shared" ref="CJ48:CJ55" si="566">Seilareal/Lwl/Lwl/SApRS1</f>
        <v>1.7248215713218864</v>
      </c>
      <c r="CK48" s="209"/>
      <c r="CL48" s="209">
        <f t="shared" ref="CL48:CL55" si="567">(ROUND(TBF/CL$6,3)*CL$6)*CL$4</f>
        <v>120</v>
      </c>
      <c r="CM48" s="110">
        <f t="shared" si="234"/>
        <v>1.1978839186523351</v>
      </c>
      <c r="CN48" s="64">
        <f>IF(SeilBeregnet=0,"-",(SeilBeregnet)^(1/2)*StHfaktor/(Depl+DeplTillegg/1000+Vann/1000+Diesel/1000*0.84)^(1/3))</f>
        <v>4.2455068611465903</v>
      </c>
      <c r="CO48" s="64">
        <f t="shared" si="203"/>
        <v>1.8645705609129886</v>
      </c>
      <c r="CP48" s="64">
        <f t="shared" si="204"/>
        <v>1.878418417945126</v>
      </c>
      <c r="CQ48" s="110">
        <f t="shared" si="205"/>
        <v>1.0285949928485048</v>
      </c>
      <c r="CR48" s="172">
        <f t="shared" si="529"/>
        <v>1.2009411764705882</v>
      </c>
      <c r="CS48" s="163">
        <f>CS47</f>
        <v>1.1599999999999999</v>
      </c>
      <c r="CT48" s="172">
        <f t="shared" si="530"/>
        <v>1.088421052631579</v>
      </c>
      <c r="CU48" s="163">
        <f>CU47</f>
        <v>1.41</v>
      </c>
      <c r="CV48" s="195" t="s">
        <v>145</v>
      </c>
      <c r="CW48" s="64">
        <v>1.1499999999999999</v>
      </c>
      <c r="CX48" s="64">
        <v>1.03</v>
      </c>
      <c r="CY48" s="64">
        <v>1.1399999999999999</v>
      </c>
      <c r="CZ48" s="154">
        <v>1.19</v>
      </c>
      <c r="DA48" s="64">
        <f t="shared" si="210"/>
        <v>2.0374426801584842</v>
      </c>
      <c r="DB48" s="49">
        <f t="shared" si="206"/>
        <v>13.294797687861271</v>
      </c>
      <c r="DC48" s="50">
        <f t="shared" si="531"/>
        <v>0</v>
      </c>
      <c r="DE48" s="110">
        <f>IF(SeilBeregnet=0,"-",DE$7*(DG:DG+DE$6)*DL:DL*PropF+ErfaringsF+Dyp_F)</f>
        <v>1.1554367950128657</v>
      </c>
      <c r="DF48" s="145">
        <f t="shared" si="532"/>
        <v>-6.6893734224211077</v>
      </c>
      <c r="DG48" s="110">
        <f t="shared" si="533"/>
        <v>6.0902129994917411</v>
      </c>
      <c r="DH48" s="136">
        <f>IF(SeilBeregnet=0,DH47,(SeilBeregnet^0.5/(Depl^0.3333))^DH$3*DH$7)</f>
        <v>4.1616175210462174</v>
      </c>
      <c r="DI48" s="136">
        <f>IF(SeilBeregnet=0,DI47,(SeilBeregnet^0.5/Lwl)^DI$3*DI$7)</f>
        <v>0</v>
      </c>
      <c r="DJ48" s="136">
        <f>IF(SeilBeregnet=0,DJ47,(0.1*Loa/Depl^0.3333)^DJ$3*DJ$7)</f>
        <v>0</v>
      </c>
      <c r="DK48" s="136">
        <f>IF(SeilBeregnet=0,DK47,((Loa)/Bredde)^DK$3*DK$7)</f>
        <v>1.9285954784455239</v>
      </c>
      <c r="DL48" s="110">
        <f>IF(SeilBeregnet=0,DL47,(Lwl)^DL$3)</f>
        <v>1.878418417945126</v>
      </c>
      <c r="DM48" s="136">
        <f>IF(SeilBeregnet=0,DM47,(Dypg/Loa)^DM$3*5*DM$7)</f>
        <v>2.0038371012863347</v>
      </c>
      <c r="DO48" s="74">
        <f t="shared" si="467"/>
        <v>1.2223305292370767</v>
      </c>
      <c r="DP48" s="110">
        <f t="shared" si="211"/>
        <v>1.1872106973294598</v>
      </c>
      <c r="DQ48" s="125">
        <f>DP48-DO48</f>
        <v>-3.5119831907616916E-2</v>
      </c>
      <c r="DR48" s="110">
        <f t="shared" si="212"/>
        <v>1.1615414870387262</v>
      </c>
      <c r="DS48" s="125">
        <f t="shared" si="534"/>
        <v>-6.0789042198350574E-2</v>
      </c>
      <c r="DT48" s="110">
        <f t="shared" si="535"/>
        <v>1.2069544663018508</v>
      </c>
      <c r="DU48" s="125">
        <f t="shared" si="536"/>
        <v>-1.5376062935225976E-2</v>
      </c>
      <c r="DV48" s="110">
        <f>IF(SeilBeregnet=0,DV47,SeilBeregnet^0.5/Depl^0.33333)</f>
        <v>4.1612260776270498</v>
      </c>
      <c r="DW48" s="110">
        <f>IF(SeilBeregnet=0,DW47,Lwl^0.3333)</f>
        <v>2.317501078004538</v>
      </c>
      <c r="DX48" s="110">
        <f>IF(SeilBeregnet=0,DX47,((Loa+Lwl)/Bredde)^DX$3)</f>
        <v>1.6238537419499199</v>
      </c>
      <c r="DZ48" s="110">
        <f t="shared" si="537"/>
        <v>1.1883557273663767</v>
      </c>
      <c r="EB48" s="110">
        <f>IF(SeilBeregnet=0,EB47,SeilBeregnet^0.5/Depl^0.33333)</f>
        <v>4.1612260776270498</v>
      </c>
      <c r="EC48" s="110">
        <f>IF(SeilBeregnet=0,EC47,Lwl^EC$3)</f>
        <v>2.3176764073442899</v>
      </c>
      <c r="ED48" s="110">
        <f>IF(SeilBeregnet=0,ED47,((Loa+Lwl)/Bredde)^ED$3)</f>
        <v>1.9085394483088816</v>
      </c>
      <c r="EE48" s="110">
        <f t="shared" si="538"/>
        <v>1.1842733188360408</v>
      </c>
      <c r="EG48" s="110">
        <f>IF(SeilBeregnet=0,EG47,(EH48*EI48)^EG$3)</f>
        <v>6.7572225372542727</v>
      </c>
      <c r="EH48" s="110">
        <f>IF(SeilBeregnet=0,EH47,SeilBeregnet^0.5/Depl^0.33333)</f>
        <v>4.1612260776270498</v>
      </c>
      <c r="EI48" s="110">
        <f>IF(SeilBeregnet=0,EI47,((Loa+Lwl)/Bredde)^EI$3)</f>
        <v>1.6238537419499199</v>
      </c>
      <c r="EJ48" s="110">
        <f>IF(SeilBeregnet=0,EJ47,Lwl^EJ$3)</f>
        <v>1.878418417945126</v>
      </c>
      <c r="EK48" s="110">
        <f>IF(SeilBeregnet=0,"-",EK$7*(EK$4*EM:EM+EK$6)*EP:EP*PropF+ErfaringsF+Dyp_F)</f>
        <v>1.1635126446953901</v>
      </c>
      <c r="EM48" s="110">
        <f>IF(SeilBeregnet=0,EM47,(EN:EN*EO:EO)^EM$3)</f>
        <v>2.0778548419069414</v>
      </c>
      <c r="EN48" s="110">
        <f>IF(SeilBeregnet=0,EN47,SeilBeregnet^0.5/Depl^0.33333)</f>
        <v>4.1612260776270498</v>
      </c>
      <c r="EO48" s="110">
        <f>IF(SeilBeregnet=0,EO47,((Loa+Lwl)/Bredde/6)^EO$3)</f>
        <v>1.0375501507234075</v>
      </c>
      <c r="EP48" s="110">
        <f>IF(SeilBeregnet=0,EP47,(Lwl*0.7+Loa*0.3)^EP$3)</f>
        <v>1.8992304700730467</v>
      </c>
      <c r="EQ48" s="110">
        <f>IF(SeilBeregnet=0,"-",EQ$7*(ES:ES+EQ$6)*EV:EV*PropF+ErfaringsF+Dyp_F)</f>
        <v>1.0799191996828506</v>
      </c>
      <c r="ES48" s="110">
        <f>(ET:ET*EU:EU)^ES$3</f>
        <v>2.0779525707327098</v>
      </c>
      <c r="ET48" s="110">
        <f>IF(SeilBeregnet=0,ET47,SeilBeregnet^0.5/Depl^0.3333)</f>
        <v>4.1616175210462174</v>
      </c>
      <c r="EU48" s="110">
        <f>IF(SeilBeregnet=0,EU47,((Loa+Lwl)/Bredde/6)^EU$3)</f>
        <v>1.0375501507234075</v>
      </c>
      <c r="EV48" s="110">
        <f>IF(SeilBeregnet=0,EV47,(Lwl*0.7+Loa*0.3)^EV$3)</f>
        <v>1.8992304700730467</v>
      </c>
      <c r="EW48" s="110">
        <f>IF(SeilBeregnet=0,"-",EW$7*(EY:EY+EW$6)*FB:FB*PropF+ErfaringsF+Dyp_F)</f>
        <v>1.1834513425817508</v>
      </c>
      <c r="EX48" s="144">
        <f t="shared" si="539"/>
        <v>-3.887918665532597</v>
      </c>
      <c r="EY48" s="110">
        <f>(EZ:EZ*FA:FA)^EY$3</f>
        <v>4.4800241895986614</v>
      </c>
      <c r="EZ48" s="136">
        <f>IF(SeilBeregnet=0,EZ47,(SeilBeregnet^0.5/(Depl^0.3333))^EZ$3)</f>
        <v>4.1616175210462174</v>
      </c>
      <c r="FA48" s="136">
        <f>IF(SeilBeregnet=0,FA47,((Loa+Lwl)/Bredde/6)^FA$3)</f>
        <v>1.0765103152661655</v>
      </c>
      <c r="FB48" s="110">
        <f>IF(SeilBeregnet=0,FB47,(Lwl*0.07+Loa*0.03)^FB$3)</f>
        <v>1.0680157793827667</v>
      </c>
      <c r="FC48" s="110">
        <f>IF(SeilBeregnet=0,"-",FC$7*(FE:FE+FC$6)*FI:FI*PropF+ErfaringsF+Dyp_F)</f>
        <v>1.1794766003754011</v>
      </c>
      <c r="FD48" s="144">
        <f t="shared" si="540"/>
        <v>-4.2853928861675605</v>
      </c>
      <c r="FE48" s="110">
        <f>(FF:FF+FG:FG+FH:FH)^FE$3+FE$7</f>
        <v>6.5407230198925133</v>
      </c>
      <c r="FF48" s="136">
        <f>IF(SeilBeregnet=0,FF47,(SeilBeregnet^0.5/(Depl^0.3333))^FF$3)</f>
        <v>4.1616175210462174</v>
      </c>
      <c r="FG48" s="136">
        <f>IF(SeilBeregnet=0,FG47,(SeilBeregnet^0.5/Lwl*FG$7)^FG$3)</f>
        <v>0.95051002040077215</v>
      </c>
      <c r="FH48" s="136">
        <f>IF(SeilBeregnet=0,FH47,((Loa)/Bredde)^FH$3*FH$7)</f>
        <v>1.9285954784455239</v>
      </c>
      <c r="FI48" s="110">
        <f>IF(SeilBeregnet=0,FI47,(Lwl)^FI$3)</f>
        <v>1.878418417945126</v>
      </c>
      <c r="FJ48" s="110">
        <f>IF(SeilBeregnet=0,"-",FJ$7*(FL:FL+FJ$6)*FO:FO*PropF+ErfaringsF+Dyp_F)</f>
        <v>1.1746802097145688</v>
      </c>
      <c r="FK48" s="144">
        <f t="shared" si="541"/>
        <v>-4.7650319522507978</v>
      </c>
      <c r="FL48" s="110">
        <f>(FM:FM*FN:FN)^FL$3</f>
        <v>8.0260767341094041</v>
      </c>
      <c r="FM48" s="136">
        <f>IF(SeilBeregnet=0,FM47,(SeilBeregnet^0.5/(Depl^0.3333))^FM$3)</f>
        <v>4.1616175210462174</v>
      </c>
      <c r="FN48" s="136">
        <f>IF(SeilBeregnet=0,FN47,(Loa/Bredde)^FN$3)</f>
        <v>1.9285954784455239</v>
      </c>
      <c r="FO48" s="110">
        <f>IF(SeilBeregnet=0,FO47,Lwl^FO$3)</f>
        <v>1.878418417945126</v>
      </c>
      <c r="FQ48">
        <v>0.95</v>
      </c>
      <c r="FR48" s="64">
        <f t="shared" si="542"/>
        <v>1.3508678975759796</v>
      </c>
      <c r="FS48" s="479"/>
      <c r="FT48" s="18"/>
      <c r="FU48" s="481"/>
      <c r="FV48" s="504"/>
      <c r="FW48" s="18"/>
      <c r="FX48" s="18"/>
      <c r="FY48" s="18"/>
      <c r="FZ48" s="18"/>
      <c r="GB48" s="18"/>
      <c r="GC48" s="481"/>
      <c r="GD48" s="8"/>
      <c r="GE48" s="8"/>
      <c r="GF48" s="8"/>
      <c r="GG48" s="8"/>
      <c r="GI48" s="18"/>
      <c r="GJ48" s="18"/>
      <c r="GK48" s="18"/>
      <c r="GL48" s="18"/>
      <c r="GM48" s="18"/>
      <c r="GN48" s="18"/>
      <c r="GO48" s="18"/>
      <c r="GP48" s="18"/>
    </row>
    <row r="49" spans="1:198" ht="15.6" x14ac:dyDescent="0.3">
      <c r="A49" s="62" t="s">
        <v>32</v>
      </c>
      <c r="B49" s="223"/>
      <c r="C49" s="63" t="str">
        <f t="shared" ref="C49:C55" si="568">C48</f>
        <v>Gaffel</v>
      </c>
      <c r="D49" s="63"/>
      <c r="E49" s="63"/>
      <c r="F49" s="63"/>
      <c r="G49" s="56"/>
      <c r="H49" s="209">
        <f t="shared" si="543"/>
        <v>116.5</v>
      </c>
      <c r="I49" s="65">
        <f t="shared" si="544"/>
        <v>3</v>
      </c>
      <c r="J49" s="228">
        <f t="shared" si="545"/>
        <v>154.69999999999999</v>
      </c>
      <c r="K49" s="119">
        <f t="shared" si="546"/>
        <v>1.7471138560205492</v>
      </c>
      <c r="L49" s="119">
        <f t="shared" si="547"/>
        <v>1.5143580992252885</v>
      </c>
      <c r="M49" s="95">
        <f t="shared" si="548"/>
        <v>0.83574660633484177</v>
      </c>
      <c r="N49" s="265">
        <f t="shared" si="549"/>
        <v>1.0285949928485048</v>
      </c>
      <c r="O49" s="147"/>
      <c r="P49" s="147"/>
      <c r="Q49" s="88">
        <f t="shared" si="550"/>
        <v>41</v>
      </c>
      <c r="R49" s="147"/>
      <c r="S49" s="147"/>
      <c r="T49" s="88">
        <f t="shared" ref="T49:U49" si="569">T48</f>
        <v>26.7</v>
      </c>
      <c r="U49" s="88">
        <f t="shared" si="569"/>
        <v>87</v>
      </c>
      <c r="V49" s="148"/>
      <c r="W49" s="148"/>
      <c r="X49" s="148"/>
      <c r="Y49" s="147"/>
      <c r="Z49" s="147"/>
      <c r="AA49" s="147"/>
      <c r="AB49" s="147"/>
      <c r="AC49" s="147"/>
      <c r="AD49" s="148"/>
      <c r="AE49" s="260">
        <f t="shared" ref="AE49:AE55" si="570">AE48</f>
        <v>15.6</v>
      </c>
      <c r="AF49" s="375">
        <f t="shared" ref="AF49:AH49" si="571" xml:space="preserve"> AF48</f>
        <v>0</v>
      </c>
      <c r="AG49" s="377"/>
      <c r="AH49" s="375">
        <f t="shared" si="571"/>
        <v>0</v>
      </c>
      <c r="AI49" s="377"/>
      <c r="AJ49" s="295" t="str">
        <f t="shared" ref="AJ49" si="572" xml:space="preserve"> AJ48</f>
        <v>Lystb</v>
      </c>
      <c r="AK49" s="47">
        <f>VLOOKUP(AJ49,Skrogform!$1:$1048576,3,FALSE)</f>
        <v>0.98</v>
      </c>
      <c r="AL49" s="66">
        <f t="shared" ref="AL49:AT55" si="573">AL48</f>
        <v>14.32</v>
      </c>
      <c r="AM49" s="66">
        <f t="shared" si="573"/>
        <v>12.45</v>
      </c>
      <c r="AN49" s="66">
        <f t="shared" si="573"/>
        <v>3.85</v>
      </c>
      <c r="AO49" s="66">
        <f t="shared" si="573"/>
        <v>2.2999999999999998</v>
      </c>
      <c r="AP49" s="66">
        <f t="shared" si="573"/>
        <v>23</v>
      </c>
      <c r="AQ49" s="66">
        <f t="shared" si="573"/>
        <v>7</v>
      </c>
      <c r="AR49" s="66">
        <f t="shared" si="573"/>
        <v>2.5</v>
      </c>
      <c r="AS49" s="284">
        <f t="shared" si="573"/>
        <v>85</v>
      </c>
      <c r="AT49" s="284">
        <f t="shared" si="573"/>
        <v>250</v>
      </c>
      <c r="AU49" s="284">
        <f t="shared" ref="AU49:AV49" si="574">AU48</f>
        <v>200</v>
      </c>
      <c r="AV49" s="284">
        <f t="shared" si="574"/>
        <v>200</v>
      </c>
      <c r="AW49" s="284"/>
      <c r="AX49" s="284">
        <f t="shared" si="556"/>
        <v>0</v>
      </c>
      <c r="AY49" s="68"/>
      <c r="AZ49" s="68"/>
      <c r="BA49" s="289"/>
      <c r="BB49" s="68"/>
      <c r="BC49" s="179"/>
      <c r="BD49" s="68"/>
      <c r="BE49" s="68"/>
      <c r="BF49" s="67" t="str">
        <f t="shared" ref="BF49:BH49" si="575" xml:space="preserve"> BF48</f>
        <v>Seilrett</v>
      </c>
      <c r="BG49" s="295">
        <f t="shared" si="575"/>
        <v>4</v>
      </c>
      <c r="BH49" s="295">
        <f t="shared" si="575"/>
        <v>53</v>
      </c>
      <c r="BI49" s="47">
        <f t="shared" si="464"/>
        <v>1</v>
      </c>
      <c r="BJ49" s="61"/>
      <c r="BK49" s="61"/>
      <c r="BM49" s="51">
        <f t="shared" si="558"/>
        <v>0</v>
      </c>
      <c r="BN49" s="51">
        <f t="shared" si="558"/>
        <v>0</v>
      </c>
      <c r="BO49" s="51">
        <f t="shared" si="558"/>
        <v>41</v>
      </c>
      <c r="BP49" s="51">
        <f t="shared" si="558"/>
        <v>0</v>
      </c>
      <c r="BQ49" s="51">
        <f t="shared" si="558"/>
        <v>0</v>
      </c>
      <c r="BR49" s="51">
        <f t="shared" si="558"/>
        <v>26.7</v>
      </c>
      <c r="BS49" s="52">
        <f t="shared" si="559"/>
        <v>-8.01</v>
      </c>
      <c r="BT49" s="88">
        <f t="shared" si="560"/>
        <v>69.600000000000009</v>
      </c>
      <c r="BU49" s="88">
        <f t="shared" si="560"/>
        <v>0</v>
      </c>
      <c r="BV49" s="88">
        <f t="shared" si="560"/>
        <v>0</v>
      </c>
      <c r="BW49" s="88">
        <f t="shared" si="560"/>
        <v>0</v>
      </c>
      <c r="BX49" s="88">
        <f t="shared" si="560"/>
        <v>0</v>
      </c>
      <c r="BY49" s="88">
        <f t="shared" si="560"/>
        <v>0</v>
      </c>
      <c r="BZ49" s="88">
        <f t="shared" si="560"/>
        <v>0</v>
      </c>
      <c r="CA49" s="88">
        <f t="shared" si="560"/>
        <v>0</v>
      </c>
      <c r="CB49" s="88">
        <f t="shared" si="560"/>
        <v>0</v>
      </c>
      <c r="CC49" s="88">
        <f t="shared" si="560"/>
        <v>0</v>
      </c>
      <c r="CD49" s="103">
        <f t="shared" si="561"/>
        <v>129.29000000000002</v>
      </c>
      <c r="CE49" s="52"/>
      <c r="CF49" s="107">
        <f t="shared" si="562"/>
        <v>154.69999999999999</v>
      </c>
      <c r="CG49" s="104">
        <f t="shared" si="563"/>
        <v>0.83574660633484177</v>
      </c>
      <c r="CH49" s="53">
        <f t="shared" si="564"/>
        <v>0.99804841857389404</v>
      </c>
      <c r="CI49" s="119">
        <f t="shared" si="565"/>
        <v>1.7471138560205492</v>
      </c>
      <c r="CJ49" s="53">
        <f t="shared" si="566"/>
        <v>1.5143580992252885</v>
      </c>
      <c r="CK49" s="209"/>
      <c r="CL49" s="209">
        <f t="shared" si="567"/>
        <v>116.5</v>
      </c>
      <c r="CM49" s="110">
        <f t="shared" si="234"/>
        <v>1.1652995616648021</v>
      </c>
      <c r="CN49" s="64">
        <f>IF(SeilBeregnet=0,"-",(SeilBeregnet)^(1/2)*StHfaktor/(Depl+DeplTillegg/1000+Vann/1000+Diesel/1000*0.84)^(1/3))</f>
        <v>4.0793029904361102</v>
      </c>
      <c r="CO49" s="64">
        <f t="shared" si="203"/>
        <v>1.8645705609129886</v>
      </c>
      <c r="CP49" s="64">
        <f t="shared" si="204"/>
        <v>1.878418417945126</v>
      </c>
      <c r="CQ49" s="110">
        <f t="shared" si="205"/>
        <v>1.0285949928485048</v>
      </c>
      <c r="CR49" s="172" t="str">
        <f t="shared" si="529"/>
        <v>-</v>
      </c>
      <c r="CS49" s="162"/>
      <c r="CT49" s="172" t="str">
        <f t="shared" si="530"/>
        <v>-</v>
      </c>
      <c r="CU49" s="164"/>
      <c r="CV49" s="195" t="s">
        <v>145</v>
      </c>
      <c r="CW49" s="64">
        <v>1.1200000000000001</v>
      </c>
      <c r="CX49" s="64">
        <v>1.01</v>
      </c>
      <c r="CY49" s="64">
        <v>1.1100000000000001</v>
      </c>
      <c r="CZ49" s="154">
        <v>1.1499999999999999</v>
      </c>
      <c r="DA49" s="64">
        <f t="shared" si="210"/>
        <v>2.0374426801584842</v>
      </c>
      <c r="DB49" s="49">
        <f t="shared" si="206"/>
        <v>13.294797687861271</v>
      </c>
      <c r="DC49" s="50">
        <f t="shared" si="531"/>
        <v>0</v>
      </c>
      <c r="DE49" s="110">
        <f>IF(SeilBeregnet=0,"-",DE$7*(DG:DG+DE$6)*DL:DL*PropF+ErfaringsF+Dyp_F)</f>
        <v>1.124527616577822</v>
      </c>
      <c r="DF49" s="144" t="str">
        <f t="shared" si="532"/>
        <v>-</v>
      </c>
      <c r="DG49" s="110">
        <f t="shared" si="533"/>
        <v>5.927293243845031</v>
      </c>
      <c r="DH49" s="136">
        <f>IF(SeilBeregnet=0,DH48,(SeilBeregnet^0.5/(Depl^0.3333))^DH$3*DH$7)</f>
        <v>3.9986977653995073</v>
      </c>
      <c r="DI49" s="136">
        <f>IF(SeilBeregnet=0,DI48,(SeilBeregnet^0.5/Lwl)^DI$3*DI$7)</f>
        <v>0</v>
      </c>
      <c r="DJ49" s="136">
        <f>IF(SeilBeregnet=0,DJ48,(0.1*Loa/Depl^0.3333)^DJ$3*DJ$7)</f>
        <v>0</v>
      </c>
      <c r="DK49" s="136">
        <f>IF(SeilBeregnet=0,DK48,((Loa)/Bredde)^DK$3*DK$7)</f>
        <v>1.9285954784455239</v>
      </c>
      <c r="DL49" s="110">
        <f>IF(SeilBeregnet=0,DL48,(Lwl)^DL$3)</f>
        <v>1.878418417945126</v>
      </c>
      <c r="DM49" s="136">
        <f>IF(SeilBeregnet=0,DM48,(Dypg/Loa)^DM$3*5*DM$7)</f>
        <v>2.0038371012863347</v>
      </c>
      <c r="DO49" s="110">
        <f t="shared" si="467"/>
        <v>1.1890811853722469</v>
      </c>
      <c r="DP49" s="110">
        <f t="shared" si="211"/>
        <v>1.1484579512714828</v>
      </c>
      <c r="DR49" s="110">
        <f t="shared" si="212"/>
        <v>1.1292201876141312</v>
      </c>
      <c r="DS49" s="125" t="str">
        <f t="shared" si="534"/>
        <v>-</v>
      </c>
      <c r="DT49" s="110">
        <f t="shared" si="535"/>
        <v>1.168536242989785</v>
      </c>
      <c r="DU49" s="125" t="str">
        <f t="shared" si="536"/>
        <v>-</v>
      </c>
      <c r="DV49" s="110">
        <f>IF(SeilBeregnet=0,DV48,SeilBeregnet^0.5/Depl^0.33333)</f>
        <v>3.9983216462781339</v>
      </c>
      <c r="DW49" s="110">
        <f>IF(SeilBeregnet=0,DW48,Lwl^0.3333)</f>
        <v>2.317501078004538</v>
      </c>
      <c r="DX49" s="110">
        <f>IF(SeilBeregnet=0,DX48,((Loa+Lwl)/Bredde)^DX$3)</f>
        <v>1.6238537419499199</v>
      </c>
      <c r="DZ49" s="110">
        <f t="shared" si="537"/>
        <v>1.1532704629505099</v>
      </c>
      <c r="EB49" s="110">
        <f>IF(SeilBeregnet=0,EB48,SeilBeregnet^0.5/Depl^0.33333)</f>
        <v>3.9983216462781339</v>
      </c>
      <c r="EC49" s="110">
        <f>IF(SeilBeregnet=0,EC48,Lwl^EC$3)</f>
        <v>2.3176764073442899</v>
      </c>
      <c r="ED49" s="110">
        <f>IF(SeilBeregnet=0,ED48,((Loa+Lwl)/Bredde)^ED$3)</f>
        <v>1.9085394483088816</v>
      </c>
      <c r="EE49" s="110">
        <f t="shared" si="538"/>
        <v>1.1484994947159595</v>
      </c>
      <c r="EG49" s="110">
        <f>IF(SeilBeregnet=0,EG48,(EH49*EI49)^EG$3)</f>
        <v>6.4926895668281119</v>
      </c>
      <c r="EH49" s="110">
        <f>IF(SeilBeregnet=0,EH48,SeilBeregnet^0.5/Depl^0.33333)</f>
        <v>3.9983216462781339</v>
      </c>
      <c r="EI49" s="110">
        <f>IF(SeilBeregnet=0,EI48,((Loa+Lwl)/Bredde)^EI$3)</f>
        <v>1.6238537419499199</v>
      </c>
      <c r="EJ49" s="110">
        <f>IF(SeilBeregnet=0,EJ48,Lwl^EJ$3)</f>
        <v>1.878418417945126</v>
      </c>
      <c r="EK49" s="110">
        <f>IF(SeilBeregnet=0,"-",EK$7*(EK$4*EM:EM+EK$6)*EP:EP*PropF+ErfaringsF+Dyp_F)</f>
        <v>1.1332215402694026</v>
      </c>
      <c r="EM49" s="110">
        <f>IF(SeilBeregnet=0,EM48,(EN:EN*EO:EO)^EM$3)</f>
        <v>2.0367766757149739</v>
      </c>
      <c r="EN49" s="110">
        <f>IF(SeilBeregnet=0,EN48,SeilBeregnet^0.5/Depl^0.33333)</f>
        <v>3.9983216462781339</v>
      </c>
      <c r="EO49" s="110">
        <f>IF(SeilBeregnet=0,EO48,((Loa+Lwl)/Bredde/6)^EO$3)</f>
        <v>1.0375501507234075</v>
      </c>
      <c r="EP49" s="110">
        <f>IF(SeilBeregnet=0,EP48,(Lwl*0.7+Loa*0.3)^EP$3)</f>
        <v>1.8992304700730467</v>
      </c>
      <c r="EQ49" s="110">
        <f>IF(SeilBeregnet=0,"-",EQ$7*(ES:ES+EQ$6)*EV:EV*PropF+ErfaringsF+Dyp_F)</f>
        <v>1.0585697293234313</v>
      </c>
      <c r="ES49" s="110">
        <f>(ET:ET*EU:EU)^ES$3</f>
        <v>2.0368724724900211</v>
      </c>
      <c r="ET49" s="110">
        <f>IF(SeilBeregnet=0,ET48,SeilBeregnet^0.5/Depl^0.3333)</f>
        <v>3.9986977653995073</v>
      </c>
      <c r="EU49" s="110">
        <f>IF(SeilBeregnet=0,EU48,((Loa+Lwl)/Bredde/6)^EU$3)</f>
        <v>1.0375501507234075</v>
      </c>
      <c r="EV49" s="110">
        <f>IF(SeilBeregnet=0,EV48,(Lwl*0.7+Loa*0.3)^EV$3)</f>
        <v>1.8992304700730467</v>
      </c>
      <c r="EW49" s="110">
        <f>IF(SeilBeregnet=0,"-",EW$7*(EY:EY+EW$6)*FB:FB*PropF+ErfaringsF+Dyp_F)</f>
        <v>1.1514206945449856</v>
      </c>
      <c r="EX49" s="144" t="str">
        <f t="shared" si="539"/>
        <v>-</v>
      </c>
      <c r="EY49" s="110">
        <f>(EZ:EZ*FA:FA)^EY$3</f>
        <v>4.3046393920843347</v>
      </c>
      <c r="EZ49" s="136">
        <f>IF(SeilBeregnet=0,EZ48,(SeilBeregnet^0.5/(Depl^0.3333))^EZ$3)</f>
        <v>3.9986977653995073</v>
      </c>
      <c r="FA49" s="136">
        <f>IF(SeilBeregnet=0,FA48,((Loa+Lwl)/Bredde/6)^FA$3)</f>
        <v>1.0765103152661655</v>
      </c>
      <c r="FB49" s="110">
        <f>IF(SeilBeregnet=0,FB48,(Lwl*0.07+Loa*0.03)^FB$3)</f>
        <v>1.0680157793827667</v>
      </c>
      <c r="FC49" s="110">
        <f>IF(SeilBeregnet=0,"-",FC$7*(FE:FE+FC$6)*FI:FI*PropF+ErfaringsF+Dyp_F)</f>
        <v>1.1433874350258919</v>
      </c>
      <c r="FD49" s="144" t="str">
        <f t="shared" si="540"/>
        <v>-</v>
      </c>
      <c r="FE49" s="110">
        <f>(FF:FF+FG:FG+FH:FH)^FE$3+FE$7</f>
        <v>6.3405925259979226</v>
      </c>
      <c r="FF49" s="136">
        <f>IF(SeilBeregnet=0,FF48,(SeilBeregnet^0.5/(Depl^0.3333))^FF$3)</f>
        <v>3.9986977653995073</v>
      </c>
      <c r="FG49" s="136">
        <f>IF(SeilBeregnet=0,FG48,(SeilBeregnet^0.5/Lwl*FG$7)^FG$3)</f>
        <v>0.9132992821528918</v>
      </c>
      <c r="FH49" s="136">
        <f>IF(SeilBeregnet=0,FH48,((Loa)/Bredde)^FH$3*FH$7)</f>
        <v>1.9285954784455239</v>
      </c>
      <c r="FI49" s="110">
        <f>IF(SeilBeregnet=0,FI48,(Lwl)^FI$3)</f>
        <v>1.878418417945126</v>
      </c>
      <c r="FJ49" s="110">
        <f>IF(SeilBeregnet=0,"-",FJ$7*(FL:FL+FJ$6)*FO:FO*PropF+ErfaringsF+Dyp_F)</f>
        <v>1.1439892424654683</v>
      </c>
      <c r="FK49" s="144" t="str">
        <f t="shared" si="541"/>
        <v>-</v>
      </c>
      <c r="FL49" s="110">
        <f>(FM:FM*FN:FN)^FL$3</f>
        <v>7.7118704300197098</v>
      </c>
      <c r="FM49" s="136">
        <f>IF(SeilBeregnet=0,FM48,(SeilBeregnet^0.5/(Depl^0.3333))^FM$3)</f>
        <v>3.9986977653995073</v>
      </c>
      <c r="FN49" s="136">
        <f>IF(SeilBeregnet=0,FN48,(Loa/Bredde)^FN$3)</f>
        <v>1.9285954784455239</v>
      </c>
      <c r="FO49" s="110">
        <f>IF(SeilBeregnet=0,FO48,Lwl^FO$3)</f>
        <v>1.878418417945126</v>
      </c>
      <c r="FQ49">
        <v>0.95</v>
      </c>
      <c r="FR49" s="64">
        <f t="shared" si="542"/>
        <v>1.3236785560804103</v>
      </c>
      <c r="FS49" s="479"/>
      <c r="FT49" s="18"/>
      <c r="FU49" s="481"/>
      <c r="FV49" s="504"/>
      <c r="FW49" s="18"/>
      <c r="FX49" s="18"/>
      <c r="FY49" s="18"/>
      <c r="FZ49" s="18"/>
      <c r="GB49" s="18"/>
      <c r="GC49" s="481"/>
      <c r="GD49" s="8"/>
      <c r="GE49" s="8"/>
      <c r="GF49" s="8"/>
      <c r="GG49" s="8"/>
      <c r="GI49" s="18"/>
      <c r="GJ49" s="18"/>
      <c r="GK49" s="18"/>
      <c r="GL49" s="18"/>
      <c r="GM49" s="18"/>
      <c r="GN49" s="18"/>
      <c r="GO49" s="18"/>
      <c r="GP49" s="18"/>
    </row>
    <row r="50" spans="1:198" ht="15.6" x14ac:dyDescent="0.3">
      <c r="A50" s="62" t="s">
        <v>132</v>
      </c>
      <c r="B50" s="223"/>
      <c r="C50" s="63" t="str">
        <f t="shared" si="568"/>
        <v>Gaffel</v>
      </c>
      <c r="D50" s="63"/>
      <c r="E50" s="63"/>
      <c r="F50" s="63"/>
      <c r="G50" s="56"/>
      <c r="H50" s="209">
        <f t="shared" si="543"/>
        <v>114.00000000000001</v>
      </c>
      <c r="I50" s="65">
        <f t="shared" si="544"/>
        <v>3</v>
      </c>
      <c r="J50" s="228">
        <f t="shared" si="545"/>
        <v>146.19999999999999</v>
      </c>
      <c r="K50" s="119">
        <f t="shared" si="546"/>
        <v>1.6511185892062334</v>
      </c>
      <c r="L50" s="119">
        <f t="shared" si="547"/>
        <v>1.431151610256866</v>
      </c>
      <c r="M50" s="95">
        <f t="shared" si="548"/>
        <v>0.82619699042407679</v>
      </c>
      <c r="N50" s="265">
        <f t="shared" si="549"/>
        <v>1.0285949928485048</v>
      </c>
      <c r="O50" s="147"/>
      <c r="P50" s="147"/>
      <c r="Q50" s="147"/>
      <c r="R50" s="169">
        <v>32.5</v>
      </c>
      <c r="S50" s="147"/>
      <c r="T50" s="88">
        <f t="shared" ref="T50:U50" si="576">T49</f>
        <v>26.7</v>
      </c>
      <c r="U50" s="88">
        <f t="shared" si="576"/>
        <v>87</v>
      </c>
      <c r="V50" s="148"/>
      <c r="W50" s="148"/>
      <c r="X50" s="148"/>
      <c r="Y50" s="147"/>
      <c r="Z50" s="147"/>
      <c r="AA50" s="147"/>
      <c r="AB50" s="147"/>
      <c r="AC50" s="147"/>
      <c r="AD50" s="148"/>
      <c r="AE50" s="260">
        <f t="shared" si="570"/>
        <v>15.6</v>
      </c>
      <c r="AF50" s="375">
        <f t="shared" ref="AF50:AH55" si="577" xml:space="preserve"> AF49</f>
        <v>0</v>
      </c>
      <c r="AG50" s="377"/>
      <c r="AH50" s="375">
        <f t="shared" si="577"/>
        <v>0</v>
      </c>
      <c r="AI50" s="377"/>
      <c r="AJ50" s="295" t="str">
        <f t="shared" ref="AJ50" si="578" xml:space="preserve"> AJ49</f>
        <v>Lystb</v>
      </c>
      <c r="AK50" s="47">
        <f>VLOOKUP(AJ50,Skrogform!$1:$1048576,3,FALSE)</f>
        <v>0.98</v>
      </c>
      <c r="AL50" s="66">
        <f t="shared" si="573"/>
        <v>14.32</v>
      </c>
      <c r="AM50" s="66">
        <f t="shared" si="573"/>
        <v>12.45</v>
      </c>
      <c r="AN50" s="66">
        <f t="shared" si="573"/>
        <v>3.85</v>
      </c>
      <c r="AO50" s="66">
        <f t="shared" si="573"/>
        <v>2.2999999999999998</v>
      </c>
      <c r="AP50" s="66">
        <f t="shared" si="573"/>
        <v>23</v>
      </c>
      <c r="AQ50" s="66">
        <f t="shared" si="573"/>
        <v>7</v>
      </c>
      <c r="AR50" s="66">
        <f t="shared" si="573"/>
        <v>2.5</v>
      </c>
      <c r="AS50" s="284">
        <f t="shared" si="573"/>
        <v>85</v>
      </c>
      <c r="AT50" s="284">
        <f t="shared" si="573"/>
        <v>250</v>
      </c>
      <c r="AU50" s="284">
        <f t="shared" ref="AU50:AV50" si="579">AU49</f>
        <v>200</v>
      </c>
      <c r="AV50" s="284">
        <f t="shared" si="579"/>
        <v>200</v>
      </c>
      <c r="AW50" s="284"/>
      <c r="AX50" s="284">
        <f t="shared" si="556"/>
        <v>0</v>
      </c>
      <c r="AY50" s="68"/>
      <c r="AZ50" s="68"/>
      <c r="BA50" s="289"/>
      <c r="BB50" s="68"/>
      <c r="BC50" s="179"/>
      <c r="BD50" s="68"/>
      <c r="BE50" s="68"/>
      <c r="BF50" s="67" t="str">
        <f t="shared" ref="BF50:BH50" si="580" xml:space="preserve"> BF49</f>
        <v>Seilrett</v>
      </c>
      <c r="BG50" s="295">
        <f t="shared" si="580"/>
        <v>4</v>
      </c>
      <c r="BH50" s="295">
        <f t="shared" si="580"/>
        <v>53</v>
      </c>
      <c r="BI50" s="47">
        <f t="shared" si="464"/>
        <v>1</v>
      </c>
      <c r="BJ50" s="61"/>
      <c r="BK50" s="61"/>
      <c r="BM50" s="51">
        <f t="shared" si="558"/>
        <v>0</v>
      </c>
      <c r="BN50" s="51">
        <f t="shared" si="558"/>
        <v>0</v>
      </c>
      <c r="BO50" s="51">
        <f t="shared" si="558"/>
        <v>0</v>
      </c>
      <c r="BP50" s="51">
        <f t="shared" si="558"/>
        <v>32.5</v>
      </c>
      <c r="BQ50" s="51">
        <f t="shared" si="558"/>
        <v>0</v>
      </c>
      <c r="BR50" s="51">
        <f t="shared" si="558"/>
        <v>26.7</v>
      </c>
      <c r="BS50" s="52">
        <f t="shared" si="559"/>
        <v>-8.01</v>
      </c>
      <c r="BT50" s="88">
        <f t="shared" si="560"/>
        <v>69.600000000000009</v>
      </c>
      <c r="BU50" s="88">
        <f t="shared" si="560"/>
        <v>0</v>
      </c>
      <c r="BV50" s="88">
        <f t="shared" si="560"/>
        <v>0</v>
      </c>
      <c r="BW50" s="88">
        <f t="shared" si="560"/>
        <v>0</v>
      </c>
      <c r="BX50" s="88">
        <f t="shared" si="560"/>
        <v>0</v>
      </c>
      <c r="BY50" s="88">
        <f t="shared" si="560"/>
        <v>0</v>
      </c>
      <c r="BZ50" s="88">
        <f t="shared" si="560"/>
        <v>0</v>
      </c>
      <c r="CA50" s="88">
        <f t="shared" si="560"/>
        <v>0</v>
      </c>
      <c r="CB50" s="88">
        <f t="shared" si="560"/>
        <v>0</v>
      </c>
      <c r="CC50" s="88">
        <f t="shared" si="560"/>
        <v>0</v>
      </c>
      <c r="CD50" s="103">
        <f t="shared" si="561"/>
        <v>120.79000000000002</v>
      </c>
      <c r="CE50" s="52"/>
      <c r="CF50" s="107">
        <f t="shared" si="562"/>
        <v>146.19999999999999</v>
      </c>
      <c r="CG50" s="104">
        <f t="shared" si="563"/>
        <v>0.82619699042407679</v>
      </c>
      <c r="CH50" s="53">
        <f t="shared" si="564"/>
        <v>0.94321059337752622</v>
      </c>
      <c r="CI50" s="119">
        <f t="shared" si="565"/>
        <v>1.6511185892062334</v>
      </c>
      <c r="CJ50" s="53">
        <f t="shared" si="566"/>
        <v>1.431151610256866</v>
      </c>
      <c r="CK50" s="209"/>
      <c r="CL50" s="209">
        <f t="shared" si="567"/>
        <v>114.00000000000001</v>
      </c>
      <c r="CM50" s="110">
        <f t="shared" si="234"/>
        <v>1.13856342161424</v>
      </c>
      <c r="CN50" s="64">
        <f>IF(SeilBeregnet=0,"-",(SeilBeregnet)^(1/2)*StHfaktor/(Depl+DeplTillegg/1000+Vann/1000+Diesel/1000*0.84)^(1/3))</f>
        <v>3.9429292708024515</v>
      </c>
      <c r="CO50" s="64">
        <f t="shared" si="203"/>
        <v>1.8645705609129886</v>
      </c>
      <c r="CP50" s="64">
        <f t="shared" si="204"/>
        <v>1.878418417945126</v>
      </c>
      <c r="CQ50" s="110">
        <f t="shared" si="205"/>
        <v>1.0285949928485048</v>
      </c>
      <c r="CR50" s="172" t="str">
        <f t="shared" si="529"/>
        <v>-</v>
      </c>
      <c r="CS50" s="162"/>
      <c r="CT50" s="172" t="str">
        <f t="shared" si="530"/>
        <v>-</v>
      </c>
      <c r="CU50" s="164"/>
      <c r="CV50" s="195" t="s">
        <v>145</v>
      </c>
      <c r="CW50" s="64">
        <v>1.0900000000000001</v>
      </c>
      <c r="CX50" s="64">
        <v>1</v>
      </c>
      <c r="CY50" s="73">
        <v>1.08</v>
      </c>
      <c r="CZ50" s="154">
        <v>1.1200000000000001</v>
      </c>
      <c r="DA50" s="64">
        <f t="shared" si="210"/>
        <v>2.0374426801584842</v>
      </c>
      <c r="DB50" s="49">
        <f t="shared" si="206"/>
        <v>13.294797687861271</v>
      </c>
      <c r="DC50" s="50">
        <f t="shared" si="531"/>
        <v>0</v>
      </c>
      <c r="DE50" s="110">
        <f>IF(SeilBeregnet=0,"-",DE$7*(DG:DG+DE$6)*DL:DL*PropF+ErfaringsF+Dyp_F)</f>
        <v>1.0991659952389898</v>
      </c>
      <c r="DF50" s="144" t="str">
        <f t="shared" si="532"/>
        <v>-</v>
      </c>
      <c r="DG50" s="110">
        <f t="shared" si="533"/>
        <v>5.7936142086674964</v>
      </c>
      <c r="DH50" s="136">
        <f>IF(SeilBeregnet=0,DH49,(SeilBeregnet^0.5/(Depl^0.3333))^DH$3*DH$7)</f>
        <v>3.8650187302219723</v>
      </c>
      <c r="DI50" s="136">
        <f>IF(SeilBeregnet=0,DI49,(SeilBeregnet^0.5/Lwl)^DI$3*DI$7)</f>
        <v>0</v>
      </c>
      <c r="DJ50" s="136">
        <f>IF(SeilBeregnet=0,DJ49,(0.1*Loa/Depl^0.3333)^DJ$3*DJ$7)</f>
        <v>0</v>
      </c>
      <c r="DK50" s="136">
        <f>IF(SeilBeregnet=0,DK49,((Loa)/Bredde)^DK$3*DK$7)</f>
        <v>1.9285954784455239</v>
      </c>
      <c r="DL50" s="110">
        <f>IF(SeilBeregnet=0,DL49,(Lwl)^DL$3)</f>
        <v>1.878418417945126</v>
      </c>
      <c r="DM50" s="136">
        <f>IF(SeilBeregnet=0,DM49,(Dypg/Loa)^DM$3*5*DM$7)</f>
        <v>2.0038371012863347</v>
      </c>
      <c r="DO50" s="110">
        <f t="shared" si="467"/>
        <v>1.1617994098104489</v>
      </c>
      <c r="DP50" s="110">
        <f t="shared" si="211"/>
        <v>1.1166605201806572</v>
      </c>
      <c r="DR50" s="110">
        <f t="shared" si="212"/>
        <v>1.1026998917444677</v>
      </c>
      <c r="DS50" s="125" t="str">
        <f t="shared" si="534"/>
        <v>-</v>
      </c>
      <c r="DT50" s="110">
        <f t="shared" si="535"/>
        <v>1.1370132947432339</v>
      </c>
      <c r="DU50" s="125" t="str">
        <f t="shared" si="536"/>
        <v>-</v>
      </c>
      <c r="DV50" s="110">
        <f>IF(SeilBeregnet=0,DV49,SeilBeregnet^0.5/Depl^0.33333)</f>
        <v>3.8646551850044562</v>
      </c>
      <c r="DW50" s="110">
        <f>IF(SeilBeregnet=0,DW49,Lwl^0.3333)</f>
        <v>2.317501078004538</v>
      </c>
      <c r="DX50" s="110">
        <f>IF(SeilBeregnet=0,DX49,((Loa+Lwl)/Bredde)^DX$3)</f>
        <v>1.6238537419499199</v>
      </c>
      <c r="DZ50" s="110">
        <f t="shared" si="537"/>
        <v>1.1244822765366267</v>
      </c>
      <c r="EB50" s="110">
        <f>IF(SeilBeregnet=0,EB49,SeilBeregnet^0.5/Depl^0.33333)</f>
        <v>3.8646551850044562</v>
      </c>
      <c r="EC50" s="110">
        <f>IF(SeilBeregnet=0,EC49,Lwl^EC$3)</f>
        <v>2.3176764073442899</v>
      </c>
      <c r="ED50" s="110">
        <f>IF(SeilBeregnet=0,ED49,((Loa+Lwl)/Bredde)^ED$3)</f>
        <v>1.9085394483088816</v>
      </c>
      <c r="EE50" s="110">
        <f t="shared" si="538"/>
        <v>1.1191463307979295</v>
      </c>
      <c r="EG50" s="110">
        <f>IF(SeilBeregnet=0,EG49,(EH50*EI50)^EG$3)</f>
        <v>6.2756347835156463</v>
      </c>
      <c r="EH50" s="110">
        <f>IF(SeilBeregnet=0,EH49,SeilBeregnet^0.5/Depl^0.33333)</f>
        <v>3.8646551850044562</v>
      </c>
      <c r="EI50" s="110">
        <f>IF(SeilBeregnet=0,EI49,((Loa+Lwl)/Bredde)^EI$3)</f>
        <v>1.6238537419499199</v>
      </c>
      <c r="EJ50" s="110">
        <f>IF(SeilBeregnet=0,EJ49,Lwl^EJ$3)</f>
        <v>1.878418417945126</v>
      </c>
      <c r="EK50" s="110">
        <f>IF(SeilBeregnet=0,"-",EK$7*(EK$4*EM:EM+EK$6)*EP:EP*PropF+ErfaringsF+Dyp_F)</f>
        <v>1.1079030238540584</v>
      </c>
      <c r="EM50" s="110">
        <f>IF(SeilBeregnet=0,EM49,(EN:EN*EO:EO)^EM$3)</f>
        <v>2.0024419017028614</v>
      </c>
      <c r="EN50" s="110">
        <f>IF(SeilBeregnet=0,EN49,SeilBeregnet^0.5/Depl^0.33333)</f>
        <v>3.8646551850044562</v>
      </c>
      <c r="EO50" s="110">
        <f>IF(SeilBeregnet=0,EO49,((Loa+Lwl)/Bredde/6)^EO$3)</f>
        <v>1.0375501507234075</v>
      </c>
      <c r="EP50" s="110">
        <f>IF(SeilBeregnet=0,EP49,(Lwl*0.7+Loa*0.3)^EP$3)</f>
        <v>1.8992304700730467</v>
      </c>
      <c r="EQ50" s="110">
        <f>IF(SeilBeregnet=0,"-",EQ$7*(ES:ES+EQ$6)*EV:EV*PropF+ErfaringsF+Dyp_F)</f>
        <v>1.0407249882353466</v>
      </c>
      <c r="ES50" s="110">
        <f>(ET:ET*EU:EU)^ES$3</f>
        <v>2.0025360835926529</v>
      </c>
      <c r="ET50" s="110">
        <f>IF(SeilBeregnet=0,ET49,SeilBeregnet^0.5/Depl^0.3333)</f>
        <v>3.8650187302219723</v>
      </c>
      <c r="EU50" s="110">
        <f>IF(SeilBeregnet=0,EU49,((Loa+Lwl)/Bredde/6)^EU$3)</f>
        <v>1.0375501507234075</v>
      </c>
      <c r="EV50" s="110">
        <f>IF(SeilBeregnet=0,EV49,(Lwl*0.7+Loa*0.3)^EV$3)</f>
        <v>1.8992304700730467</v>
      </c>
      <c r="EW50" s="110">
        <f>IF(SeilBeregnet=0,"-",EW$7*(EY:EY+EW$6)*FB:FB*PropF+ErfaringsF+Dyp_F)</f>
        <v>1.1251388841612833</v>
      </c>
      <c r="EX50" s="144" t="str">
        <f t="shared" si="539"/>
        <v>-</v>
      </c>
      <c r="EY50" s="110">
        <f>(EZ:EZ*FA:FA)^EY$3</f>
        <v>4.1607325317808899</v>
      </c>
      <c r="EZ50" s="136">
        <f>IF(SeilBeregnet=0,EZ49,(SeilBeregnet^0.5/(Depl^0.3333))^EZ$3)</f>
        <v>3.8650187302219723</v>
      </c>
      <c r="FA50" s="136">
        <f>IF(SeilBeregnet=0,FA49,((Loa+Lwl)/Bredde/6)^FA$3)</f>
        <v>1.0765103152661655</v>
      </c>
      <c r="FB50" s="110">
        <f>IF(SeilBeregnet=0,FB49,(Lwl*0.07+Loa*0.03)^FB$3)</f>
        <v>1.0680157793827667</v>
      </c>
      <c r="FC50" s="110">
        <f>IF(SeilBeregnet=0,"-",FC$7*(FE:FE+FC$6)*FI:FI*PropF+ErfaringsF+Dyp_F)</f>
        <v>1.1137755270953</v>
      </c>
      <c r="FD50" s="144" t="str">
        <f t="shared" si="540"/>
        <v>-</v>
      </c>
      <c r="FE50" s="110">
        <f>(FF:FF+FG:FG+FH:FH)^FE$3+FE$7</f>
        <v>6.1763813090878843</v>
      </c>
      <c r="FF50" s="136">
        <f>IF(SeilBeregnet=0,FF49,(SeilBeregnet^0.5/(Depl^0.3333))^FF$3)</f>
        <v>3.8650187302219723</v>
      </c>
      <c r="FG50" s="136">
        <f>IF(SeilBeregnet=0,FG49,(SeilBeregnet^0.5/Lwl*FG$7)^FG$3)</f>
        <v>0.8827671004203882</v>
      </c>
      <c r="FH50" s="136">
        <f>IF(SeilBeregnet=0,FH49,((Loa)/Bredde)^FH$3*FH$7)</f>
        <v>1.9285954784455239</v>
      </c>
      <c r="FI50" s="110">
        <f>IF(SeilBeregnet=0,FI49,(Lwl)^FI$3)</f>
        <v>1.878418417945126</v>
      </c>
      <c r="FJ50" s="110">
        <f>IF(SeilBeregnet=0,"-",FJ$7*(FL:FL+FJ$6)*FO:FO*PropF+ErfaringsF+Dyp_F)</f>
        <v>1.1188066679260007</v>
      </c>
      <c r="FK50" s="144" t="str">
        <f t="shared" si="541"/>
        <v>-</v>
      </c>
      <c r="FL50" s="110">
        <f>(FM:FM*FN:FN)^FL$3</f>
        <v>7.4540576472133564</v>
      </c>
      <c r="FM50" s="136">
        <f>IF(SeilBeregnet=0,FM49,(SeilBeregnet^0.5/(Depl^0.3333))^FM$3)</f>
        <v>3.8650187302219723</v>
      </c>
      <c r="FN50" s="136">
        <f>IF(SeilBeregnet=0,FN49,(Loa/Bredde)^FN$3)</f>
        <v>1.9285954784455239</v>
      </c>
      <c r="FO50" s="110">
        <f>IF(SeilBeregnet=0,FO49,Lwl^FO$3)</f>
        <v>1.878418417945126</v>
      </c>
      <c r="FQ50">
        <v>0.95</v>
      </c>
      <c r="FR50" s="64">
        <f t="shared" si="542"/>
        <v>1.3013691380248003</v>
      </c>
      <c r="FS50" s="479"/>
      <c r="FT50" s="18"/>
      <c r="FU50" s="481"/>
      <c r="FV50" s="504"/>
      <c r="FW50" s="18"/>
      <c r="FX50" s="18"/>
      <c r="FY50" s="18"/>
      <c r="FZ50" s="18"/>
      <c r="GB50" s="18"/>
      <c r="GC50" s="481"/>
      <c r="GD50" s="8"/>
      <c r="GE50" s="8"/>
      <c r="GF50" s="8"/>
      <c r="GG50" s="8"/>
      <c r="GI50" s="18"/>
      <c r="GJ50" s="18"/>
      <c r="GK50" s="18"/>
      <c r="GL50" s="18"/>
      <c r="GM50" s="18"/>
      <c r="GN50" s="18"/>
      <c r="GO50" s="18"/>
      <c r="GP50" s="18"/>
    </row>
    <row r="51" spans="1:198" ht="15.6" x14ac:dyDescent="0.3">
      <c r="A51" s="62" t="s">
        <v>120</v>
      </c>
      <c r="B51" s="223"/>
      <c r="C51" s="63" t="str">
        <f>C49</f>
        <v>Gaffel</v>
      </c>
      <c r="D51" s="63"/>
      <c r="E51" s="63"/>
      <c r="F51" s="63"/>
      <c r="G51" s="56"/>
      <c r="H51" s="209">
        <f t="shared" si="543"/>
        <v>109.00000000000001</v>
      </c>
      <c r="I51" s="65">
        <f t="shared" ref="I51" si="581">COUNTA(O51:AD51)</f>
        <v>3</v>
      </c>
      <c r="J51" s="228">
        <f t="shared" ref="J51" si="582">SUM(O51:AD51)</f>
        <v>128.69999999999999</v>
      </c>
      <c r="K51" s="119">
        <f t="shared" si="546"/>
        <v>1.4534812751767596</v>
      </c>
      <c r="L51" s="119">
        <f t="shared" si="547"/>
        <v>1.2598441329689372</v>
      </c>
      <c r="M51" s="95">
        <f t="shared" si="548"/>
        <v>0.82983682983683005</v>
      </c>
      <c r="N51" s="265">
        <f t="shared" si="549"/>
        <v>1.0285949928485048</v>
      </c>
      <c r="O51" s="147"/>
      <c r="P51" s="147"/>
      <c r="Q51" s="147"/>
      <c r="R51" s="147"/>
      <c r="S51" s="169">
        <v>15</v>
      </c>
      <c r="T51" s="88">
        <f t="shared" ref="T51:U51" si="583">T50</f>
        <v>26.7</v>
      </c>
      <c r="U51" s="88">
        <f t="shared" si="583"/>
        <v>87</v>
      </c>
      <c r="V51" s="148"/>
      <c r="W51" s="148"/>
      <c r="X51" s="148"/>
      <c r="Y51" s="147"/>
      <c r="Z51" s="147"/>
      <c r="AA51" s="147"/>
      <c r="AB51" s="147"/>
      <c r="AC51" s="147"/>
      <c r="AD51" s="148"/>
      <c r="AE51" s="260">
        <f t="shared" si="570"/>
        <v>15.6</v>
      </c>
      <c r="AF51" s="375">
        <f t="shared" si="577"/>
        <v>0</v>
      </c>
      <c r="AG51" s="377"/>
      <c r="AH51" s="375">
        <f t="shared" si="577"/>
        <v>0</v>
      </c>
      <c r="AI51" s="377"/>
      <c r="AJ51" s="295" t="str">
        <f t="shared" ref="AJ51" si="584" xml:space="preserve"> AJ50</f>
        <v>Lystb</v>
      </c>
      <c r="AK51" s="47">
        <f>VLOOKUP(AJ51,Skrogform!$1:$1048576,3,FALSE)</f>
        <v>0.98</v>
      </c>
      <c r="AL51" s="66">
        <f t="shared" si="573"/>
        <v>14.32</v>
      </c>
      <c r="AM51" s="66">
        <f t="shared" si="573"/>
        <v>12.45</v>
      </c>
      <c r="AN51" s="66">
        <f t="shared" si="573"/>
        <v>3.85</v>
      </c>
      <c r="AO51" s="66">
        <f t="shared" si="573"/>
        <v>2.2999999999999998</v>
      </c>
      <c r="AP51" s="66">
        <f t="shared" si="573"/>
        <v>23</v>
      </c>
      <c r="AQ51" s="66">
        <f t="shared" si="573"/>
        <v>7</v>
      </c>
      <c r="AR51" s="66">
        <f t="shared" si="573"/>
        <v>2.5</v>
      </c>
      <c r="AS51" s="284">
        <f t="shared" si="573"/>
        <v>85</v>
      </c>
      <c r="AT51" s="284">
        <f t="shared" si="573"/>
        <v>250</v>
      </c>
      <c r="AU51" s="284">
        <f t="shared" ref="AU51:AV51" si="585">AU50</f>
        <v>200</v>
      </c>
      <c r="AV51" s="284">
        <f t="shared" si="585"/>
        <v>200</v>
      </c>
      <c r="AW51" s="284"/>
      <c r="AX51" s="284">
        <f t="shared" si="556"/>
        <v>0</v>
      </c>
      <c r="AY51" s="68"/>
      <c r="AZ51" s="68"/>
      <c r="BA51" s="289"/>
      <c r="BB51" s="68"/>
      <c r="BC51" s="179"/>
      <c r="BD51" s="68"/>
      <c r="BE51" s="68"/>
      <c r="BF51" s="67" t="str">
        <f t="shared" ref="BF51:BH51" si="586" xml:space="preserve"> BF50</f>
        <v>Seilrett</v>
      </c>
      <c r="BG51" s="295">
        <f t="shared" si="586"/>
        <v>4</v>
      </c>
      <c r="BH51" s="295">
        <f t="shared" si="586"/>
        <v>53</v>
      </c>
      <c r="BI51" s="47">
        <f t="shared" si="464"/>
        <v>1</v>
      </c>
      <c r="BJ51" s="61"/>
      <c r="BK51" s="61"/>
      <c r="BM51" s="51">
        <f t="shared" si="558"/>
        <v>0</v>
      </c>
      <c r="BN51" s="51">
        <f t="shared" si="558"/>
        <v>0</v>
      </c>
      <c r="BO51" s="51">
        <f t="shared" si="558"/>
        <v>0</v>
      </c>
      <c r="BP51" s="51">
        <f t="shared" si="558"/>
        <v>0</v>
      </c>
      <c r="BQ51" s="51">
        <f t="shared" si="558"/>
        <v>15</v>
      </c>
      <c r="BR51" s="51">
        <f t="shared" si="558"/>
        <v>26.7</v>
      </c>
      <c r="BS51" s="52">
        <f t="shared" si="559"/>
        <v>-4.5</v>
      </c>
      <c r="BT51" s="88">
        <f t="shared" si="560"/>
        <v>69.600000000000009</v>
      </c>
      <c r="BU51" s="88">
        <f t="shared" si="560"/>
        <v>0</v>
      </c>
      <c r="BV51" s="88">
        <f t="shared" si="560"/>
        <v>0</v>
      </c>
      <c r="BW51" s="88">
        <f t="shared" si="560"/>
        <v>0</v>
      </c>
      <c r="BX51" s="88">
        <f t="shared" si="560"/>
        <v>0</v>
      </c>
      <c r="BY51" s="88">
        <f t="shared" si="560"/>
        <v>0</v>
      </c>
      <c r="BZ51" s="88">
        <f t="shared" si="560"/>
        <v>0</v>
      </c>
      <c r="CA51" s="88">
        <f t="shared" si="560"/>
        <v>0</v>
      </c>
      <c r="CB51" s="88">
        <f t="shared" si="560"/>
        <v>0</v>
      </c>
      <c r="CC51" s="88">
        <f t="shared" si="560"/>
        <v>0</v>
      </c>
      <c r="CD51" s="103">
        <f t="shared" ref="CD51" si="587">SUM(BM51:CC51)</f>
        <v>106.80000000000001</v>
      </c>
      <c r="CE51" s="52"/>
      <c r="CF51" s="107">
        <f t="shared" si="562"/>
        <v>128.69999999999999</v>
      </c>
      <c r="CG51" s="104">
        <f t="shared" ref="CG51" si="588">CD51/CF51</f>
        <v>0.82983682983683005</v>
      </c>
      <c r="CH51" s="53">
        <f t="shared" si="564"/>
        <v>0.83030918856147473</v>
      </c>
      <c r="CI51" s="119">
        <f t="shared" si="565"/>
        <v>1.4534812751767596</v>
      </c>
      <c r="CJ51" s="53">
        <f t="shared" si="566"/>
        <v>1.2598441329689372</v>
      </c>
      <c r="CK51" s="209"/>
      <c r="CL51" s="209">
        <f t="shared" si="567"/>
        <v>109.00000000000001</v>
      </c>
      <c r="CM51" s="110">
        <f t="shared" si="234"/>
        <v>1.092420715095527</v>
      </c>
      <c r="CN51" s="64">
        <f>IF(SeilBeregnet=0,"-",(SeilBeregnet)^(1/2)*StHfaktor/(Depl+DeplTillegg/1000+Vann/1000+Diesel/1000*0.84)^(1/3))</f>
        <v>3.7075679766881624</v>
      </c>
      <c r="CO51" s="64">
        <f t="shared" si="203"/>
        <v>1.8645705609129886</v>
      </c>
      <c r="CP51" s="64">
        <f t="shared" si="204"/>
        <v>1.878418417945126</v>
      </c>
      <c r="CQ51" s="110">
        <f t="shared" si="205"/>
        <v>1.0285949928485048</v>
      </c>
      <c r="CR51" s="172" t="str">
        <f t="shared" si="529"/>
        <v>-</v>
      </c>
      <c r="CS51" s="162"/>
      <c r="CT51" s="172" t="str">
        <f t="shared" si="530"/>
        <v>-</v>
      </c>
      <c r="CU51" s="164"/>
      <c r="CV51" s="195" t="s">
        <v>145</v>
      </c>
      <c r="CW51" s="64">
        <v>1.04</v>
      </c>
      <c r="CX51" s="64">
        <v>0.97</v>
      </c>
      <c r="CY51" s="64">
        <v>1.03</v>
      </c>
      <c r="CZ51" s="154"/>
      <c r="DA51" s="64">
        <f t="shared" si="210"/>
        <v>2.0374426801584842</v>
      </c>
      <c r="DB51" s="49">
        <f t="shared" si="206"/>
        <v>13.294797687861271</v>
      </c>
      <c r="DC51" s="50">
        <f t="shared" si="531"/>
        <v>0</v>
      </c>
      <c r="DE51" s="110">
        <f>IF(SeilBeregnet=0,"-",DE$7*(DG:DG+DE$6)*DL:DL*PropF+ErfaringsF+Dyp_F)</f>
        <v>1.0553955089958997</v>
      </c>
      <c r="DF51" s="144" t="str">
        <f t="shared" si="532"/>
        <v>-</v>
      </c>
      <c r="DG51" s="110">
        <f t="shared" si="533"/>
        <v>5.5629035497527664</v>
      </c>
      <c r="DH51" s="136">
        <f>IF(SeilBeregnet=0,DH49,(SeilBeregnet^0.5/(Depl^0.3333))^DH$3*DH$7)</f>
        <v>3.6343080713072426</v>
      </c>
      <c r="DI51" s="136">
        <f>IF(SeilBeregnet=0,DI49,(SeilBeregnet^0.5/Lwl)^DI$3*DI$7)</f>
        <v>0</v>
      </c>
      <c r="DJ51" s="136">
        <f>IF(SeilBeregnet=0,DJ49,(0.1*Loa/Depl^0.3333)^DJ$3*DJ$7)</f>
        <v>0</v>
      </c>
      <c r="DK51" s="136">
        <f>IF(SeilBeregnet=0,DK49,((Loa)/Bredde)^DK$3*DK$7)</f>
        <v>1.9285954784455239</v>
      </c>
      <c r="DL51" s="110">
        <f>IF(SeilBeregnet=0,DL49,(Lwl)^DL$3)</f>
        <v>1.878418417945126</v>
      </c>
      <c r="DM51" s="136">
        <f>IF(SeilBeregnet=0,DM49,(Dypg/Loa)^DM$3*5*DM$7)</f>
        <v>2.0038371012863347</v>
      </c>
      <c r="DO51" s="110">
        <f t="shared" si="467"/>
        <v>1.114715015403599</v>
      </c>
      <c r="DP51" s="110">
        <f t="shared" si="211"/>
        <v>1.0617827581664618</v>
      </c>
      <c r="DR51" s="110">
        <f t="shared" si="212"/>
        <v>1.056929701029238</v>
      </c>
      <c r="DS51" s="125" t="str">
        <f t="shared" si="534"/>
        <v>-</v>
      </c>
      <c r="DT51" s="110">
        <f t="shared" si="535"/>
        <v>1.0826092503750344</v>
      </c>
      <c r="DU51" s="125" t="str">
        <f t="shared" si="536"/>
        <v>-</v>
      </c>
      <c r="DV51" s="110">
        <f>IF(SeilBeregnet=0,DV49,SeilBeregnet^0.5/Depl^0.33333)</f>
        <v>3.6339662268271704</v>
      </c>
      <c r="DW51" s="110">
        <f>IF(SeilBeregnet=0,DW49,Lwl^0.3333)</f>
        <v>2.317501078004538</v>
      </c>
      <c r="DX51" s="110">
        <f>IF(SeilBeregnet=0,DX49,((Loa+Lwl)/Bredde)^DX$3)</f>
        <v>1.6238537419499199</v>
      </c>
      <c r="DZ51" s="110">
        <f t="shared" si="537"/>
        <v>1.0747980351169728</v>
      </c>
      <c r="EB51" s="110">
        <f>IF(SeilBeregnet=0,EB49,SeilBeregnet^0.5/Depl^0.33333)</f>
        <v>3.6339662268271704</v>
      </c>
      <c r="EC51" s="110">
        <f>IF(SeilBeregnet=0,EC49,Lwl^EC$3)</f>
        <v>2.3176764073442899</v>
      </c>
      <c r="ED51" s="110">
        <f>IF(SeilBeregnet=0,ED49,((Loa+Lwl)/Bredde)^ED$3)</f>
        <v>1.9085394483088816</v>
      </c>
      <c r="EE51" s="110">
        <f t="shared" si="538"/>
        <v>1.0684870200109617</v>
      </c>
      <c r="EG51" s="110">
        <f>IF(SeilBeregnet=0,EG49,(EH51*EI51)^EG$3)</f>
        <v>5.9010296555529322</v>
      </c>
      <c r="EH51" s="110">
        <f>IF(SeilBeregnet=0,EH49,SeilBeregnet^0.5/Depl^0.33333)</f>
        <v>3.6339662268271704</v>
      </c>
      <c r="EI51" s="110">
        <f>IF(SeilBeregnet=0,EI49,((Loa+Lwl)/Bredde)^EI$3)</f>
        <v>1.6238537419499199</v>
      </c>
      <c r="EJ51" s="110">
        <f>IF(SeilBeregnet=0,EJ49,Lwl^EJ$3)</f>
        <v>1.878418417945126</v>
      </c>
      <c r="EK51" s="110">
        <f>IF(SeilBeregnet=0,"-",EK$7*(EK$4*EM:EM+EK$6)*EP:EP*PropF+ErfaringsF+Dyp_F)</f>
        <v>1.0631542538277376</v>
      </c>
      <c r="EM51" s="110">
        <f>IF(SeilBeregnet=0,EM49,(EN:EN*EO:EO)^EM$3)</f>
        <v>1.9417575045222055</v>
      </c>
      <c r="EN51" s="110">
        <f>IF(SeilBeregnet=0,EN49,SeilBeregnet^0.5/Depl^0.33333)</f>
        <v>3.6339662268271704</v>
      </c>
      <c r="EO51" s="110">
        <f>IF(SeilBeregnet=0,EO49,((Loa+Lwl)/Bredde/6)^EO$3)</f>
        <v>1.0375501507234075</v>
      </c>
      <c r="EP51" s="110">
        <f>IF(SeilBeregnet=0,EP49,(Lwl*0.7+Loa*0.3)^EP$3)</f>
        <v>1.8992304700730467</v>
      </c>
      <c r="EQ51" s="110">
        <f>IF(SeilBeregnet=0,"-",EQ$7*(ES:ES+EQ$6)*EV:EV*PropF+ErfaringsF+Dyp_F)</f>
        <v>1.0091856119926703</v>
      </c>
      <c r="ES51" s="110">
        <f>(ET:ET*EU:EU)^ES$3</f>
        <v>1.9418488322112322</v>
      </c>
      <c r="ET51" s="110">
        <f>IF(SeilBeregnet=0,ET49,SeilBeregnet^0.5/Depl^0.3333)</f>
        <v>3.6343080713072426</v>
      </c>
      <c r="EU51" s="110">
        <f>IF(SeilBeregnet=0,EU49,((Loa+Lwl)/Bredde/6)^EU$3)</f>
        <v>1.0375501507234075</v>
      </c>
      <c r="EV51" s="110">
        <f>IF(SeilBeregnet=0,EV49,(Lwl*0.7+Loa*0.3)^EV$3)</f>
        <v>1.8992304700730467</v>
      </c>
      <c r="EW51" s="110">
        <f>IF(SeilBeregnet=0,"-",EW$7*(EY:EY+EW$6)*FB:FB*PropF+ErfaringsF+Dyp_F)</f>
        <v>1.0797802848637703</v>
      </c>
      <c r="EX51" s="144" t="str">
        <f t="shared" si="539"/>
        <v>-</v>
      </c>
      <c r="EY51" s="110">
        <f>(EZ:EZ*FA:FA)^EY$3</f>
        <v>3.9123701276173297</v>
      </c>
      <c r="EZ51" s="136">
        <f>IF(SeilBeregnet=0,EZ49,(SeilBeregnet^0.5/(Depl^0.3333))^EZ$3)</f>
        <v>3.6343080713072426</v>
      </c>
      <c r="FA51" s="136">
        <f>IF(SeilBeregnet=0,FA49,((Loa+Lwl)/Bredde/6)^FA$3)</f>
        <v>1.0765103152661655</v>
      </c>
      <c r="FB51" s="110">
        <f>IF(SeilBeregnet=0,FB49,(Lwl*0.07+Loa*0.03)^FB$3)</f>
        <v>1.0680157793827667</v>
      </c>
      <c r="FC51" s="110">
        <f>IF(SeilBeregnet=0,"-",FC$7*(FE:FE+FC$6)*FI:FI*PropF+ErfaringsF+Dyp_F)</f>
        <v>1.0626696616069977</v>
      </c>
      <c r="FD51" s="144" t="str">
        <f t="shared" si="540"/>
        <v>-</v>
      </c>
      <c r="FE51" s="110">
        <f>(FF:FF+FG:FG+FH:FH)^FE$3+FE$7</f>
        <v>5.8929765253520481</v>
      </c>
      <c r="FF51" s="136">
        <f>IF(SeilBeregnet=0,FF49,(SeilBeregnet^0.5/(Depl^0.3333))^FF$3)</f>
        <v>3.6343080713072426</v>
      </c>
      <c r="FG51" s="136">
        <f>IF(SeilBeregnet=0,FG49,(SeilBeregnet^0.5/Lwl*FG$7)^FG$3)</f>
        <v>0.83007297559928128</v>
      </c>
      <c r="FH51" s="136">
        <f>IF(SeilBeregnet=0,FH49,((Loa)/Bredde)^FH$3*FH$7)</f>
        <v>1.9285954784455239</v>
      </c>
      <c r="FI51" s="110">
        <f>IF(SeilBeregnet=0,FI49,(Lwl)^FI$3)</f>
        <v>1.878418417945126</v>
      </c>
      <c r="FJ51" s="110">
        <f>IF(SeilBeregnet=0,"-",FJ$7*(FL:FL+FJ$6)*FO:FO*PropF+ErfaringsF+Dyp_F)</f>
        <v>1.0753451905338733</v>
      </c>
      <c r="FK51" s="144" t="str">
        <f t="shared" si="541"/>
        <v>-</v>
      </c>
      <c r="FL51" s="110">
        <f>(FM:FM*FN:FN)^FL$3</f>
        <v>7.0091101136012206</v>
      </c>
      <c r="FM51" s="136">
        <f>IF(SeilBeregnet=0,FM49,(SeilBeregnet^0.5/(Depl^0.3333))^FM$3)</f>
        <v>3.6343080713072426</v>
      </c>
      <c r="FN51" s="136">
        <f>IF(SeilBeregnet=0,FN49,(Loa/Bredde)^FN$3)</f>
        <v>1.9285954784455239</v>
      </c>
      <c r="FO51" s="110">
        <f>IF(SeilBeregnet=0,FO49,Lwl^FO$3)</f>
        <v>1.878418417945126</v>
      </c>
      <c r="FQ51">
        <v>0.95</v>
      </c>
      <c r="FR51" s="64">
        <f t="shared" si="542"/>
        <v>1.2628663127105817</v>
      </c>
      <c r="FS51" s="479"/>
      <c r="FT51" s="18"/>
      <c r="FU51" s="481"/>
      <c r="FV51" s="504"/>
      <c r="FW51" s="18"/>
      <c r="FX51" s="18"/>
      <c r="FY51" s="18"/>
      <c r="FZ51" s="18"/>
      <c r="GB51" s="18"/>
      <c r="GC51" s="481"/>
      <c r="GD51" s="8"/>
      <c r="GE51" s="8"/>
      <c r="GF51" s="8"/>
      <c r="GG51" s="8"/>
      <c r="GI51" s="18"/>
      <c r="GJ51" s="18"/>
      <c r="GK51" s="18"/>
      <c r="GL51" s="18"/>
      <c r="GM51" s="18"/>
      <c r="GN51" s="18"/>
      <c r="GO51" s="18"/>
      <c r="GP51" s="18"/>
    </row>
    <row r="52" spans="1:198" ht="15.6" x14ac:dyDescent="0.3">
      <c r="A52" s="62" t="s">
        <v>123</v>
      </c>
      <c r="B52" s="223"/>
      <c r="C52" s="63" t="str">
        <f>C50</f>
        <v>Gaffel</v>
      </c>
      <c r="D52" s="63"/>
      <c r="E52" s="63"/>
      <c r="F52" s="63"/>
      <c r="G52" s="56"/>
      <c r="H52" s="209">
        <f t="shared" si="543"/>
        <v>103</v>
      </c>
      <c r="I52" s="65">
        <f t="shared" si="544"/>
        <v>3</v>
      </c>
      <c r="J52" s="228">
        <f t="shared" si="545"/>
        <v>111.3</v>
      </c>
      <c r="K52" s="119">
        <f t="shared" si="546"/>
        <v>1.2569733172274542</v>
      </c>
      <c r="L52" s="119">
        <f t="shared" si="547"/>
        <v>1.0895155555512257</v>
      </c>
      <c r="M52" s="95">
        <f t="shared" si="548"/>
        <v>0.80323450134770902</v>
      </c>
      <c r="N52" s="265">
        <f t="shared" si="549"/>
        <v>1.0285949928485048</v>
      </c>
      <c r="O52" s="147"/>
      <c r="P52" s="147"/>
      <c r="Q52" s="147"/>
      <c r="R52" s="147"/>
      <c r="S52" s="169">
        <v>15</v>
      </c>
      <c r="T52" s="88">
        <f t="shared" ref="T52" si="589">T51</f>
        <v>26.7</v>
      </c>
      <c r="U52" s="148"/>
      <c r="V52" s="181">
        <f>V47</f>
        <v>69.599999999999994</v>
      </c>
      <c r="W52" s="148"/>
      <c r="X52" s="148"/>
      <c r="Y52" s="147"/>
      <c r="Z52" s="147"/>
      <c r="AA52" s="147"/>
      <c r="AB52" s="147"/>
      <c r="AC52" s="147"/>
      <c r="AD52" s="148"/>
      <c r="AE52" s="260">
        <f t="shared" si="570"/>
        <v>15.6</v>
      </c>
      <c r="AF52" s="375">
        <f t="shared" si="577"/>
        <v>0</v>
      </c>
      <c r="AG52" s="377"/>
      <c r="AH52" s="375">
        <f t="shared" si="577"/>
        <v>0</v>
      </c>
      <c r="AI52" s="377"/>
      <c r="AJ52" s="295" t="str">
        <f t="shared" ref="AJ52" si="590" xml:space="preserve"> AJ51</f>
        <v>Lystb</v>
      </c>
      <c r="AK52" s="47">
        <f>VLOOKUP(AJ52,Skrogform!$1:$1048576,3,FALSE)</f>
        <v>0.98</v>
      </c>
      <c r="AL52" s="66">
        <f t="shared" si="573"/>
        <v>14.32</v>
      </c>
      <c r="AM52" s="66">
        <f t="shared" si="573"/>
        <v>12.45</v>
      </c>
      <c r="AN52" s="66">
        <f t="shared" si="573"/>
        <v>3.85</v>
      </c>
      <c r="AO52" s="66">
        <f t="shared" si="573"/>
        <v>2.2999999999999998</v>
      </c>
      <c r="AP52" s="66">
        <f t="shared" si="573"/>
        <v>23</v>
      </c>
      <c r="AQ52" s="66">
        <f t="shared" si="573"/>
        <v>7</v>
      </c>
      <c r="AR52" s="66">
        <f t="shared" si="573"/>
        <v>2.5</v>
      </c>
      <c r="AS52" s="284">
        <f t="shared" si="573"/>
        <v>85</v>
      </c>
      <c r="AT52" s="284">
        <f t="shared" si="573"/>
        <v>250</v>
      </c>
      <c r="AU52" s="284">
        <f t="shared" ref="AU52:AV52" si="591">AU51</f>
        <v>200</v>
      </c>
      <c r="AV52" s="284">
        <f t="shared" si="591"/>
        <v>200</v>
      </c>
      <c r="AW52" s="284"/>
      <c r="AX52" s="284">
        <f t="shared" si="556"/>
        <v>0</v>
      </c>
      <c r="AY52" s="68"/>
      <c r="AZ52" s="68"/>
      <c r="BA52" s="289"/>
      <c r="BB52" s="68"/>
      <c r="BC52" s="179"/>
      <c r="BD52" s="68"/>
      <c r="BE52" s="68"/>
      <c r="BF52" s="67" t="str">
        <f t="shared" ref="BF52:BH52" si="592" xml:space="preserve"> BF51</f>
        <v>Seilrett</v>
      </c>
      <c r="BG52" s="295">
        <f t="shared" si="592"/>
        <v>4</v>
      </c>
      <c r="BH52" s="295">
        <f t="shared" si="592"/>
        <v>53</v>
      </c>
      <c r="BI52" s="47">
        <f t="shared" si="464"/>
        <v>1</v>
      </c>
      <c r="BJ52" s="61"/>
      <c r="BK52" s="61"/>
      <c r="BM52" s="51">
        <f t="shared" si="558"/>
        <v>0</v>
      </c>
      <c r="BN52" s="51">
        <f t="shared" si="558"/>
        <v>0</v>
      </c>
      <c r="BO52" s="51">
        <f t="shared" si="558"/>
        <v>0</v>
      </c>
      <c r="BP52" s="51">
        <f t="shared" si="558"/>
        <v>0</v>
      </c>
      <c r="BQ52" s="51">
        <f t="shared" si="558"/>
        <v>15</v>
      </c>
      <c r="BR52" s="51">
        <f t="shared" si="558"/>
        <v>26.7</v>
      </c>
      <c r="BS52" s="52">
        <f t="shared" si="559"/>
        <v>-4.5</v>
      </c>
      <c r="BT52" s="88">
        <f t="shared" si="560"/>
        <v>0</v>
      </c>
      <c r="BU52" s="88">
        <f t="shared" si="560"/>
        <v>52.199999999999996</v>
      </c>
      <c r="BV52" s="88">
        <f t="shared" si="560"/>
        <v>0</v>
      </c>
      <c r="BW52" s="88">
        <f t="shared" si="560"/>
        <v>0</v>
      </c>
      <c r="BX52" s="88">
        <f t="shared" si="560"/>
        <v>0</v>
      </c>
      <c r="BY52" s="88">
        <f t="shared" si="560"/>
        <v>0</v>
      </c>
      <c r="BZ52" s="88">
        <f t="shared" si="560"/>
        <v>0</v>
      </c>
      <c r="CA52" s="88">
        <f t="shared" si="560"/>
        <v>0</v>
      </c>
      <c r="CB52" s="88">
        <f t="shared" si="560"/>
        <v>0</v>
      </c>
      <c r="CC52" s="88">
        <f t="shared" si="560"/>
        <v>0</v>
      </c>
      <c r="CD52" s="103">
        <f t="shared" si="561"/>
        <v>89.4</v>
      </c>
      <c r="CE52" s="52"/>
      <c r="CF52" s="107">
        <f t="shared" si="562"/>
        <v>111.3</v>
      </c>
      <c r="CG52" s="104">
        <f t="shared" si="563"/>
        <v>0.80323450134770902</v>
      </c>
      <c r="CH52" s="53">
        <f t="shared" si="564"/>
        <v>0.71805293463008668</v>
      </c>
      <c r="CI52" s="119">
        <f t="shared" si="565"/>
        <v>1.2569733172274542</v>
      </c>
      <c r="CJ52" s="53">
        <f t="shared" si="566"/>
        <v>1.0895155555512257</v>
      </c>
      <c r="CK52" s="209"/>
      <c r="CL52" s="209">
        <f t="shared" si="567"/>
        <v>103</v>
      </c>
      <c r="CM52" s="110">
        <f t="shared" si="234"/>
        <v>1.0305785766608979</v>
      </c>
      <c r="CN52" s="64">
        <f>IF(SeilBeregnet=0,"-",(SeilBeregnet)^(1/2)*StHfaktor/(Depl+DeplTillegg/1000+Vann/1000+Diesel/1000*0.84)^(1/3))</f>
        <v>3.392128184987464</v>
      </c>
      <c r="CO52" s="64">
        <f t="shared" si="203"/>
        <v>1.8645705609129886</v>
      </c>
      <c r="CP52" s="64">
        <f t="shared" si="204"/>
        <v>1.878418417945126</v>
      </c>
      <c r="CQ52" s="110">
        <f t="shared" si="205"/>
        <v>1.0285949928485048</v>
      </c>
      <c r="CR52" s="172" t="str">
        <f t="shared" si="529"/>
        <v>-</v>
      </c>
      <c r="CS52" s="162"/>
      <c r="CT52" s="172" t="str">
        <f t="shared" si="530"/>
        <v>-</v>
      </c>
      <c r="CU52" s="164"/>
      <c r="CV52" s="195" t="s">
        <v>145</v>
      </c>
      <c r="CW52" s="64">
        <v>1.04</v>
      </c>
      <c r="CX52" s="64">
        <v>0.97</v>
      </c>
      <c r="CY52" s="64">
        <v>1.03</v>
      </c>
      <c r="CZ52" s="154"/>
      <c r="DA52" s="64">
        <f t="shared" si="210"/>
        <v>2.0374426801584842</v>
      </c>
      <c r="DB52" s="49">
        <f t="shared" si="206"/>
        <v>13.294797687861271</v>
      </c>
      <c r="DC52" s="50">
        <f t="shared" si="531"/>
        <v>0</v>
      </c>
      <c r="DE52" s="110">
        <f>IF(SeilBeregnet=0,"-",DE$7*(DG:DG+DE$6)*DL:DL*PropF+ErfaringsF+Dyp_F)</f>
        <v>0.99673270670669178</v>
      </c>
      <c r="DF52" s="144" t="str">
        <f t="shared" si="532"/>
        <v>-</v>
      </c>
      <c r="DG52" s="110">
        <f t="shared" si="533"/>
        <v>5.2536967089888202</v>
      </c>
      <c r="DH52" s="136">
        <f>IF(SeilBeregnet=0,DH50,(SeilBeregnet^0.5/(Depl^0.3333))^DH$3*DH$7)</f>
        <v>3.3251012305432961</v>
      </c>
      <c r="DI52" s="136">
        <f>IF(SeilBeregnet=0,DI50,(SeilBeregnet^0.5/Lwl)^DI$3*DI$7)</f>
        <v>0</v>
      </c>
      <c r="DJ52" s="136">
        <f>IF(SeilBeregnet=0,DJ50,(0.1*Loa/Depl^0.3333)^DJ$3*DJ$7)</f>
        <v>0</v>
      </c>
      <c r="DK52" s="136">
        <f>IF(SeilBeregnet=0,DK50,((Loa)/Bredde)^DK$3*DK$7)</f>
        <v>1.9285954784455239</v>
      </c>
      <c r="DL52" s="110">
        <f>IF(SeilBeregnet=0,DL50,(Lwl)^DL$3)</f>
        <v>1.878418417945126</v>
      </c>
      <c r="DM52" s="136">
        <f>IF(SeilBeregnet=0,DM50,(Dypg/Loa)^DM$3*5*DM$7)</f>
        <v>2.0038371012863347</v>
      </c>
      <c r="DO52" s="110">
        <f t="shared" si="467"/>
        <v>1.0516107925111204</v>
      </c>
      <c r="DP52" s="110">
        <f t="shared" si="211"/>
        <v>0.98823357972613346</v>
      </c>
      <c r="DR52" s="110">
        <f t="shared" si="212"/>
        <v>0.99558682186278247</v>
      </c>
      <c r="DS52" s="125" t="str">
        <f t="shared" si="534"/>
        <v>-</v>
      </c>
      <c r="DT52" s="110">
        <f t="shared" si="535"/>
        <v>1.0096949656037788</v>
      </c>
      <c r="DU52" s="125" t="str">
        <f t="shared" si="536"/>
        <v>-</v>
      </c>
      <c r="DV52" s="110">
        <f>IF(SeilBeregnet=0,DV50,SeilBeregnet^0.5/Depl^0.33333)</f>
        <v>3.3247884701831278</v>
      </c>
      <c r="DW52" s="110">
        <f>IF(SeilBeregnet=0,DW50,Lwl^0.3333)</f>
        <v>2.317501078004538</v>
      </c>
      <c r="DX52" s="110">
        <f>IF(SeilBeregnet=0,DX50,((Loa+Lwl)/Bredde)^DX$3)</f>
        <v>1.6238537419499199</v>
      </c>
      <c r="DZ52" s="110">
        <f t="shared" si="537"/>
        <v>1.0082094024227095</v>
      </c>
      <c r="EB52" s="110">
        <f>IF(SeilBeregnet=0,EB50,SeilBeregnet^0.5/Depl^0.33333)</f>
        <v>3.3247884701831278</v>
      </c>
      <c r="EC52" s="110">
        <f>IF(SeilBeregnet=0,EC50,Lwl^EC$3)</f>
        <v>2.3176764073442899</v>
      </c>
      <c r="ED52" s="110">
        <f>IF(SeilBeregnet=0,ED50,((Loa+Lwl)/Bredde)^ED$3)</f>
        <v>1.9085394483088816</v>
      </c>
      <c r="EE52" s="110">
        <f t="shared" si="538"/>
        <v>1.0005915637827916</v>
      </c>
      <c r="EG52" s="110">
        <f>IF(SeilBeregnet=0,EG50,(EH52*EI52)^EG$3)</f>
        <v>5.3989701984988221</v>
      </c>
      <c r="EH52" s="110">
        <f>IF(SeilBeregnet=0,EH50,SeilBeregnet^0.5/Depl^0.33333)</f>
        <v>3.3247884701831278</v>
      </c>
      <c r="EI52" s="110">
        <f>IF(SeilBeregnet=0,EI50,((Loa+Lwl)/Bredde)^EI$3)</f>
        <v>1.6238537419499199</v>
      </c>
      <c r="EJ52" s="110">
        <f>IF(SeilBeregnet=0,EJ50,Lwl^EJ$3)</f>
        <v>1.878418417945126</v>
      </c>
      <c r="EK52" s="110">
        <f>IF(SeilBeregnet=0,"-",EK$7*(EK$4*EM:EM+EK$6)*EP:EP*PropF+ErfaringsF+Dyp_F)</f>
        <v>1.0008893484133445</v>
      </c>
      <c r="EM52" s="110">
        <f>IF(SeilBeregnet=0,EM50,(EN:EN*EO:EO)^EM$3)</f>
        <v>1.8573192451385281</v>
      </c>
      <c r="EN52" s="110">
        <f>IF(SeilBeregnet=0,EN50,SeilBeregnet^0.5/Depl^0.33333)</f>
        <v>3.3247884701831278</v>
      </c>
      <c r="EO52" s="110">
        <f>IF(SeilBeregnet=0,EO50,((Loa+Lwl)/Bredde/6)^EO$3)</f>
        <v>1.0375501507234075</v>
      </c>
      <c r="EP52" s="110">
        <f>IF(SeilBeregnet=0,EP50,(Lwl*0.7+Loa*0.3)^EP$3)</f>
        <v>1.8992304700730467</v>
      </c>
      <c r="EQ52" s="110">
        <f>IF(SeilBeregnet=0,"-",EQ$7*(ES:ES+EQ$6)*EV:EV*PropF+ErfaringsF+Dyp_F)</f>
        <v>0.96530069007360697</v>
      </c>
      <c r="ES52" s="110">
        <f>(ET:ET*EU:EU)^ES$3</f>
        <v>1.8574066013990542</v>
      </c>
      <c r="ET52" s="110">
        <f>IF(SeilBeregnet=0,ET50,SeilBeregnet^0.5/Depl^0.3333)</f>
        <v>3.3251012305432961</v>
      </c>
      <c r="EU52" s="110">
        <f>IF(SeilBeregnet=0,EU50,((Loa+Lwl)/Bredde/6)^EU$3)</f>
        <v>1.0375501507234075</v>
      </c>
      <c r="EV52" s="110">
        <f>IF(SeilBeregnet=0,EV50,(Lwl*0.7+Loa*0.3)^EV$3)</f>
        <v>1.8992304700730467</v>
      </c>
      <c r="EW52" s="110">
        <f>IF(SeilBeregnet=0,"-",EW$7*(EY:EY+EW$6)*FB:FB*PropF+ErfaringsF+Dyp_F)</f>
        <v>1.0189890355290552</v>
      </c>
      <c r="EX52" s="144" t="str">
        <f t="shared" si="539"/>
        <v>-</v>
      </c>
      <c r="EY52" s="110">
        <f>(EZ:EZ*FA:FA)^EY$3</f>
        <v>3.5795057739840783</v>
      </c>
      <c r="EZ52" s="136">
        <f>IF(SeilBeregnet=0,EZ50,(SeilBeregnet^0.5/(Depl^0.3333))^EZ$3)</f>
        <v>3.3251012305432961</v>
      </c>
      <c r="FA52" s="136">
        <f>IF(SeilBeregnet=0,FA50,((Loa+Lwl)/Bredde/6)^FA$3)</f>
        <v>1.0765103152661655</v>
      </c>
      <c r="FB52" s="110">
        <f>IF(SeilBeregnet=0,FB50,(Lwl*0.07+Loa*0.03)^FB$3)</f>
        <v>1.0680157793827667</v>
      </c>
      <c r="FC52" s="110">
        <f>IF(SeilBeregnet=0,"-",FC$7*(FE:FE+FC$6)*FI:FI*PropF+ErfaringsF+Dyp_F)</f>
        <v>0.99417571647901937</v>
      </c>
      <c r="FD52" s="144" t="str">
        <f t="shared" si="540"/>
        <v>-</v>
      </c>
      <c r="FE52" s="110">
        <f>(FF:FF+FG:FG+FH:FH)^FE$3+FE$7</f>
        <v>5.5131470963669926</v>
      </c>
      <c r="FF52" s="136">
        <f>IF(SeilBeregnet=0,FF50,(SeilBeregnet^0.5/(Depl^0.3333))^FF$3)</f>
        <v>3.3251012305432961</v>
      </c>
      <c r="FG52" s="136">
        <f>IF(SeilBeregnet=0,FG50,(SeilBeregnet^0.5/Lwl*FG$7)^FG$3)</f>
        <v>0.75945038737817272</v>
      </c>
      <c r="FH52" s="136">
        <f>IF(SeilBeregnet=0,FH50,((Loa)/Bredde)^FH$3*FH$7)</f>
        <v>1.9285954784455239</v>
      </c>
      <c r="FI52" s="110">
        <f>IF(SeilBeregnet=0,FI50,(Lwl)^FI$3)</f>
        <v>1.878418417945126</v>
      </c>
      <c r="FJ52" s="110">
        <f>IF(SeilBeregnet=0,"-",FJ$7*(FL:FL+FJ$6)*FO:FO*PropF+ErfaringsF+Dyp_F)</f>
        <v>1.0170965331785138</v>
      </c>
      <c r="FK52" s="144" t="str">
        <f t="shared" si="541"/>
        <v>-</v>
      </c>
      <c r="FL52" s="110">
        <f>(FM:FM*FN:FN)^FL$3</f>
        <v>6.4127751985994488</v>
      </c>
      <c r="FM52" s="136">
        <f>IF(SeilBeregnet=0,FM50,(SeilBeregnet^0.5/(Depl^0.3333))^FM$3)</f>
        <v>3.3251012305432961</v>
      </c>
      <c r="FN52" s="136">
        <f>IF(SeilBeregnet=0,FN50,(Loa/Bredde)^FN$3)</f>
        <v>1.9285954784455239</v>
      </c>
      <c r="FO52" s="110">
        <f>IF(SeilBeregnet=0,FO50,Lwl^FO$3)</f>
        <v>1.878418417945126</v>
      </c>
      <c r="FQ52">
        <v>0.95</v>
      </c>
      <c r="FR52" s="64">
        <f t="shared" si="542"/>
        <v>1.2112634217479419</v>
      </c>
      <c r="FS52" s="479"/>
      <c r="FT52" s="18"/>
      <c r="FU52" s="481"/>
      <c r="FV52" s="504"/>
      <c r="FW52" s="18"/>
      <c r="FX52" s="18"/>
      <c r="FY52" s="18"/>
      <c r="FZ52" s="18"/>
      <c r="GB52" s="18"/>
      <c r="GC52" s="481"/>
      <c r="GD52" s="8"/>
      <c r="GE52" s="8"/>
      <c r="GF52" s="8"/>
      <c r="GG52" s="8"/>
      <c r="GI52" s="18"/>
      <c r="GJ52" s="18"/>
      <c r="GK52" s="18"/>
      <c r="GL52" s="18"/>
      <c r="GM52" s="18"/>
      <c r="GN52" s="18"/>
      <c r="GO52" s="18"/>
      <c r="GP52" s="18"/>
    </row>
    <row r="53" spans="1:198" ht="15.6" x14ac:dyDescent="0.3">
      <c r="A53" s="62" t="s">
        <v>36</v>
      </c>
      <c r="B53" s="223"/>
      <c r="C53" s="63" t="str">
        <f t="shared" si="568"/>
        <v>Gaffel</v>
      </c>
      <c r="D53" s="63"/>
      <c r="E53" s="63"/>
      <c r="F53" s="63"/>
      <c r="G53" s="56"/>
      <c r="H53" s="209">
        <f t="shared" si="543"/>
        <v>105.5</v>
      </c>
      <c r="I53" s="65">
        <f t="shared" si="544"/>
        <v>2</v>
      </c>
      <c r="J53" s="228">
        <f t="shared" si="545"/>
        <v>113.7</v>
      </c>
      <c r="K53" s="119">
        <f t="shared" si="546"/>
        <v>1.2840778631514964</v>
      </c>
      <c r="L53" s="119">
        <f t="shared" si="547"/>
        <v>1.1130091524364272</v>
      </c>
      <c r="M53" s="95">
        <f t="shared" si="548"/>
        <v>0.84696569920844333</v>
      </c>
      <c r="N53" s="265">
        <f t="shared" si="549"/>
        <v>1.0285949928485048</v>
      </c>
      <c r="O53" s="147"/>
      <c r="P53" s="147"/>
      <c r="Q53" s="147"/>
      <c r="R53" s="147"/>
      <c r="S53" s="147"/>
      <c r="T53" s="88">
        <f t="shared" ref="T53" si="593">T52</f>
        <v>26.7</v>
      </c>
      <c r="U53" s="88">
        <f>U47</f>
        <v>87</v>
      </c>
      <c r="V53" s="148"/>
      <c r="W53" s="148"/>
      <c r="X53" s="148"/>
      <c r="Y53" s="147"/>
      <c r="Z53" s="147"/>
      <c r="AA53" s="147"/>
      <c r="AB53" s="147"/>
      <c r="AC53" s="147"/>
      <c r="AD53" s="148"/>
      <c r="AE53" s="260">
        <f t="shared" si="570"/>
        <v>15.6</v>
      </c>
      <c r="AF53" s="375">
        <f t="shared" si="577"/>
        <v>0</v>
      </c>
      <c r="AG53" s="377"/>
      <c r="AH53" s="375">
        <f t="shared" si="577"/>
        <v>0</v>
      </c>
      <c r="AI53" s="377"/>
      <c r="AJ53" s="295" t="str">
        <f t="shared" ref="AJ53" si="594" xml:space="preserve"> AJ52</f>
        <v>Lystb</v>
      </c>
      <c r="AK53" s="47">
        <f>VLOOKUP(AJ53,Skrogform!$1:$1048576,3,FALSE)</f>
        <v>0.98</v>
      </c>
      <c r="AL53" s="66">
        <f t="shared" si="573"/>
        <v>14.32</v>
      </c>
      <c r="AM53" s="66">
        <f t="shared" si="573"/>
        <v>12.45</v>
      </c>
      <c r="AN53" s="66">
        <f t="shared" si="573"/>
        <v>3.85</v>
      </c>
      <c r="AO53" s="66">
        <f t="shared" si="573"/>
        <v>2.2999999999999998</v>
      </c>
      <c r="AP53" s="66">
        <f t="shared" si="573"/>
        <v>23</v>
      </c>
      <c r="AQ53" s="66">
        <f t="shared" si="573"/>
        <v>7</v>
      </c>
      <c r="AR53" s="66">
        <f t="shared" si="573"/>
        <v>2.5</v>
      </c>
      <c r="AS53" s="284">
        <f t="shared" si="573"/>
        <v>85</v>
      </c>
      <c r="AT53" s="284">
        <f t="shared" si="573"/>
        <v>250</v>
      </c>
      <c r="AU53" s="284">
        <f t="shared" ref="AU53:AV53" si="595">AU52</f>
        <v>200</v>
      </c>
      <c r="AV53" s="284">
        <f t="shared" si="595"/>
        <v>200</v>
      </c>
      <c r="AW53" s="284"/>
      <c r="AX53" s="284">
        <f t="shared" si="556"/>
        <v>0</v>
      </c>
      <c r="AY53" s="68"/>
      <c r="AZ53" s="68"/>
      <c r="BA53" s="289"/>
      <c r="BB53" s="68"/>
      <c r="BC53" s="179"/>
      <c r="BD53" s="68"/>
      <c r="BE53" s="68"/>
      <c r="BF53" s="67" t="str">
        <f t="shared" ref="BF53:BH53" si="596" xml:space="preserve"> BF52</f>
        <v>Seilrett</v>
      </c>
      <c r="BG53" s="295">
        <f t="shared" si="596"/>
        <v>4</v>
      </c>
      <c r="BH53" s="295">
        <f t="shared" si="596"/>
        <v>53</v>
      </c>
      <c r="BI53" s="47">
        <f t="shared" si="464"/>
        <v>1</v>
      </c>
      <c r="BJ53" s="61"/>
      <c r="BK53" s="61"/>
      <c r="BM53" s="51">
        <f t="shared" si="558"/>
        <v>0</v>
      </c>
      <c r="BN53" s="51">
        <f t="shared" si="558"/>
        <v>0</v>
      </c>
      <c r="BO53" s="51">
        <f t="shared" si="558"/>
        <v>0</v>
      </c>
      <c r="BP53" s="51">
        <f t="shared" si="558"/>
        <v>0</v>
      </c>
      <c r="BQ53" s="51">
        <f t="shared" si="558"/>
        <v>0</v>
      </c>
      <c r="BR53" s="51">
        <f t="shared" si="558"/>
        <v>26.7</v>
      </c>
      <c r="BS53" s="52">
        <f t="shared" si="559"/>
        <v>0</v>
      </c>
      <c r="BT53" s="88">
        <f t="shared" si="560"/>
        <v>69.600000000000009</v>
      </c>
      <c r="BU53" s="88">
        <f t="shared" si="560"/>
        <v>0</v>
      </c>
      <c r="BV53" s="88">
        <f t="shared" si="560"/>
        <v>0</v>
      </c>
      <c r="BW53" s="88">
        <f t="shared" si="560"/>
        <v>0</v>
      </c>
      <c r="BX53" s="88">
        <f t="shared" si="560"/>
        <v>0</v>
      </c>
      <c r="BY53" s="88">
        <f t="shared" si="560"/>
        <v>0</v>
      </c>
      <c r="BZ53" s="88">
        <f t="shared" si="560"/>
        <v>0</v>
      </c>
      <c r="CA53" s="88">
        <f t="shared" si="560"/>
        <v>0</v>
      </c>
      <c r="CB53" s="88">
        <f t="shared" si="560"/>
        <v>0</v>
      </c>
      <c r="CC53" s="88">
        <f t="shared" si="560"/>
        <v>0</v>
      </c>
      <c r="CD53" s="103">
        <f t="shared" si="561"/>
        <v>96.300000000000011</v>
      </c>
      <c r="CE53" s="52"/>
      <c r="CF53" s="107">
        <f t="shared" si="562"/>
        <v>113.7</v>
      </c>
      <c r="CG53" s="104">
        <f t="shared" si="563"/>
        <v>0.84696569920844333</v>
      </c>
      <c r="CH53" s="53">
        <f t="shared" si="564"/>
        <v>0.73353655586200228</v>
      </c>
      <c r="CI53" s="119">
        <f t="shared" si="565"/>
        <v>1.2840778631514964</v>
      </c>
      <c r="CJ53" s="53">
        <f t="shared" si="566"/>
        <v>1.1130091524364272</v>
      </c>
      <c r="CK53" s="209"/>
      <c r="CL53" s="209">
        <f t="shared" si="567"/>
        <v>105.5</v>
      </c>
      <c r="CM53" s="110">
        <f t="shared" si="234"/>
        <v>1.055765472533627</v>
      </c>
      <c r="CN53" s="64">
        <f>IF(SeilBeregnet=0,"-",(SeilBeregnet)^(1/2)*StHfaktor/(Depl+DeplTillegg/1000+Vann/1000+Diesel/1000*0.84)^(1/3))</f>
        <v>3.5205996348562159</v>
      </c>
      <c r="CO53" s="64">
        <f t="shared" si="203"/>
        <v>1.8645705609129886</v>
      </c>
      <c r="CP53" s="64">
        <f t="shared" si="204"/>
        <v>1.878418417945126</v>
      </c>
      <c r="CQ53" s="110">
        <f t="shared" si="205"/>
        <v>1.0285949928485048</v>
      </c>
      <c r="CR53" s="172" t="str">
        <f t="shared" si="529"/>
        <v>-</v>
      </c>
      <c r="CS53" s="162"/>
      <c r="CT53" s="172" t="str">
        <f t="shared" si="530"/>
        <v>-</v>
      </c>
      <c r="CU53" s="164"/>
      <c r="CV53" s="195" t="s">
        <v>145</v>
      </c>
      <c r="CW53" s="64">
        <v>1</v>
      </c>
      <c r="CX53" s="64">
        <v>0.94</v>
      </c>
      <c r="CY53" s="64">
        <v>1</v>
      </c>
      <c r="CZ53" s="154"/>
      <c r="DA53" s="64">
        <f t="shared" si="210"/>
        <v>2.0374426801584842</v>
      </c>
      <c r="DB53" s="49">
        <f t="shared" si="206"/>
        <v>13.294797687861271</v>
      </c>
      <c r="DC53" s="50">
        <f t="shared" si="531"/>
        <v>0</v>
      </c>
      <c r="DE53" s="110">
        <f>IF(SeilBeregnet=0,"-",DE$7*(DG:DG+DE$6)*DL:DL*PropF+ErfaringsF+Dyp_F)</f>
        <v>1.020624731307727</v>
      </c>
      <c r="DF53" s="144" t="str">
        <f t="shared" si="532"/>
        <v>-</v>
      </c>
      <c r="DG53" s="110">
        <f t="shared" si="533"/>
        <v>5.3796296197611317</v>
      </c>
      <c r="DH53" s="136">
        <f>IF(SeilBeregnet=0,DH52,(SeilBeregnet^0.5/(Depl^0.3333))^DH$3*DH$7)</f>
        <v>3.4510341413156076</v>
      </c>
      <c r="DI53" s="136">
        <f>IF(SeilBeregnet=0,DI52,(SeilBeregnet^0.5/Lwl)^DI$3*DI$7)</f>
        <v>0</v>
      </c>
      <c r="DJ53" s="136">
        <f>IF(SeilBeregnet=0,DJ52,(0.1*Loa/Depl^0.3333)^DJ$3*DJ$7)</f>
        <v>0</v>
      </c>
      <c r="DK53" s="136">
        <f>IF(SeilBeregnet=0,DK52,((Loa)/Bredde)^DK$3*DK$7)</f>
        <v>1.9285954784455239</v>
      </c>
      <c r="DL53" s="110">
        <f>IF(SeilBeregnet=0,DL52,(Lwl)^DL$3)</f>
        <v>1.878418417945126</v>
      </c>
      <c r="DM53" s="136">
        <f>IF(SeilBeregnet=0,DM52,(Dypg/Loa)^DM$3*5*DM$7)</f>
        <v>2.0038371012863347</v>
      </c>
      <c r="DO53" s="110">
        <f t="shared" si="467"/>
        <v>1.0773117066669664</v>
      </c>
      <c r="DP53" s="110">
        <f t="shared" si="211"/>
        <v>1.0181884866195861</v>
      </c>
      <c r="DR53" s="110">
        <f t="shared" si="212"/>
        <v>1.0205703807953723</v>
      </c>
      <c r="DS53" s="125" t="str">
        <f t="shared" si="534"/>
        <v>-</v>
      </c>
      <c r="DT53" s="110">
        <f t="shared" si="535"/>
        <v>1.0393912947517336</v>
      </c>
      <c r="DU53" s="125" t="str">
        <f t="shared" si="536"/>
        <v>-</v>
      </c>
      <c r="DV53" s="110">
        <f>IF(SeilBeregnet=0,DV52,SeilBeregnet^0.5/Depl^0.33333)</f>
        <v>3.4507095356551614</v>
      </c>
      <c r="DW53" s="110">
        <f>IF(SeilBeregnet=0,DW52,Lwl^0.3333)</f>
        <v>2.317501078004538</v>
      </c>
      <c r="DX53" s="110">
        <f>IF(SeilBeregnet=0,DX52,((Loa+Lwl)/Bredde)^DX$3)</f>
        <v>1.6238537419499199</v>
      </c>
      <c r="DZ53" s="110">
        <f t="shared" si="537"/>
        <v>1.0353294374090591</v>
      </c>
      <c r="EB53" s="110">
        <f>IF(SeilBeregnet=0,EB52,SeilBeregnet^0.5/Depl^0.33333)</f>
        <v>3.4507095356551614</v>
      </c>
      <c r="EC53" s="110">
        <f>IF(SeilBeregnet=0,EC52,Lwl^EC$3)</f>
        <v>2.3176764073442899</v>
      </c>
      <c r="ED53" s="110">
        <f>IF(SeilBeregnet=0,ED52,((Loa+Lwl)/Bredde)^ED$3)</f>
        <v>1.9085394483088816</v>
      </c>
      <c r="EE53" s="110">
        <f t="shared" si="538"/>
        <v>1.0282438382599755</v>
      </c>
      <c r="EG53" s="110">
        <f>IF(SeilBeregnet=0,EG52,(EH53*EI53)^EG$3)</f>
        <v>5.6034475918559048</v>
      </c>
      <c r="EH53" s="110">
        <f>IF(SeilBeregnet=0,EH52,SeilBeregnet^0.5/Depl^0.33333)</f>
        <v>3.4507095356551614</v>
      </c>
      <c r="EI53" s="110">
        <f>IF(SeilBeregnet=0,EI52,((Loa+Lwl)/Bredde)^EI$3)</f>
        <v>1.6238537419499199</v>
      </c>
      <c r="EJ53" s="110">
        <f>IF(SeilBeregnet=0,EJ52,Lwl^EJ$3)</f>
        <v>1.878418417945126</v>
      </c>
      <c r="EK53" s="110">
        <f>IF(SeilBeregnet=0,"-",EK$7*(EK$4*EM:EM+EK$6)*EP:EP*PropF+ErfaringsF+Dyp_F)</f>
        <v>1.0265838467733774</v>
      </c>
      <c r="EM53" s="110">
        <f>IF(SeilBeregnet=0,EM52,(EN:EN*EO:EO)^EM$3)</f>
        <v>1.8921638932242926</v>
      </c>
      <c r="EN53" s="110">
        <f>IF(SeilBeregnet=0,EN52,SeilBeregnet^0.5/Depl^0.33333)</f>
        <v>3.4507095356551614</v>
      </c>
      <c r="EO53" s="110">
        <f>IF(SeilBeregnet=0,EO52,((Loa+Lwl)/Bredde/6)^EO$3)</f>
        <v>1.0375501507234075</v>
      </c>
      <c r="EP53" s="110">
        <f>IF(SeilBeregnet=0,EP52,(Lwl*0.7+Loa*0.3)^EP$3)</f>
        <v>1.8992304700730467</v>
      </c>
      <c r="EQ53" s="110">
        <f>IF(SeilBeregnet=0,"-",EQ$7*(ES:ES+EQ$6)*EV:EV*PropF+ErfaringsF+Dyp_F)</f>
        <v>0.98341042695949787</v>
      </c>
      <c r="ES53" s="110">
        <f>(ET:ET*EU:EU)^ES$3</f>
        <v>1.8922528883512462</v>
      </c>
      <c r="ET53" s="110">
        <f>IF(SeilBeregnet=0,ET52,SeilBeregnet^0.5/Depl^0.3333)</f>
        <v>3.4510341413156076</v>
      </c>
      <c r="EU53" s="110">
        <f>IF(SeilBeregnet=0,EU52,((Loa+Lwl)/Bredde/6)^EU$3)</f>
        <v>1.0375501507234075</v>
      </c>
      <c r="EV53" s="110">
        <f>IF(SeilBeregnet=0,EV52,(Lwl*0.7+Loa*0.3)^EV$3)</f>
        <v>1.8992304700730467</v>
      </c>
      <c r="EW53" s="110">
        <f>IF(SeilBeregnet=0,"-",EW$7*(EY:EY+EW$6)*FB:FB*PropF+ErfaringsF+Dyp_F)</f>
        <v>1.0437479281825668</v>
      </c>
      <c r="EX53" s="144" t="str">
        <f t="shared" si="539"/>
        <v>-</v>
      </c>
      <c r="EY53" s="110">
        <f>(EZ:EZ*FA:FA)^EY$3</f>
        <v>3.7150738514619652</v>
      </c>
      <c r="EZ53" s="136">
        <f>IF(SeilBeregnet=0,EZ52,(SeilBeregnet^0.5/(Depl^0.3333))^EZ$3)</f>
        <v>3.4510341413156076</v>
      </c>
      <c r="FA53" s="136">
        <f>IF(SeilBeregnet=0,FA52,((Loa+Lwl)/Bredde/6)^FA$3)</f>
        <v>1.0765103152661655</v>
      </c>
      <c r="FB53" s="110">
        <f>IF(SeilBeregnet=0,FB52,(Lwl*0.07+Loa*0.03)^FB$3)</f>
        <v>1.0680157793827667</v>
      </c>
      <c r="FC53" s="110">
        <f>IF(SeilBeregnet=0,"-",FC$7*(FE:FE+FC$6)*FI:FI*PropF+ErfaringsF+Dyp_F)</f>
        <v>1.0220717418675076</v>
      </c>
      <c r="FD53" s="144" t="str">
        <f t="shared" si="540"/>
        <v>-</v>
      </c>
      <c r="FE53" s="110">
        <f>(FF:FF+FG:FG+FH:FH)^FE$3+FE$7</f>
        <v>5.6678429804260047</v>
      </c>
      <c r="FF53" s="136">
        <f>IF(SeilBeregnet=0,FF52,(SeilBeregnet^0.5/(Depl^0.3333))^FF$3)</f>
        <v>3.4510341413156076</v>
      </c>
      <c r="FG53" s="136">
        <f>IF(SeilBeregnet=0,FG52,(SeilBeregnet^0.5/Lwl*FG$7)^FG$3)</f>
        <v>0.78821336066487357</v>
      </c>
      <c r="FH53" s="136">
        <f>IF(SeilBeregnet=0,FH52,((Loa)/Bredde)^FH$3*FH$7)</f>
        <v>1.9285954784455239</v>
      </c>
      <c r="FI53" s="110">
        <f>IF(SeilBeregnet=0,FI52,(Lwl)^FI$3)</f>
        <v>1.878418417945126</v>
      </c>
      <c r="FJ53" s="110">
        <f>IF(SeilBeregnet=0,"-",FJ$7*(FL:FL+FJ$6)*FO:FO*PropF+ErfaringsF+Dyp_F)</f>
        <v>1.0408198859711497</v>
      </c>
      <c r="FK53" s="144" t="str">
        <f t="shared" si="541"/>
        <v>-</v>
      </c>
      <c r="FL53" s="110">
        <f>(FM:FM*FN:FN)^FL$3</f>
        <v>6.6556488409024119</v>
      </c>
      <c r="FM53" s="136">
        <f>IF(SeilBeregnet=0,FM52,(SeilBeregnet^0.5/(Depl^0.3333))^FM$3)</f>
        <v>3.4510341413156076</v>
      </c>
      <c r="FN53" s="136">
        <f>IF(SeilBeregnet=0,FN52,(Loa/Bredde)^FN$3)</f>
        <v>1.9285954784455239</v>
      </c>
      <c r="FO53" s="110">
        <f>IF(SeilBeregnet=0,FO52,Lwl^FO$3)</f>
        <v>1.878418417945126</v>
      </c>
      <c r="FQ53">
        <v>0.95</v>
      </c>
      <c r="FR53" s="64">
        <f t="shared" si="542"/>
        <v>1.2322801051018282</v>
      </c>
      <c r="FS53" s="479"/>
      <c r="FT53" s="18"/>
      <c r="FU53" s="481"/>
      <c r="FV53" s="504"/>
      <c r="FW53" s="18"/>
      <c r="FX53" s="18"/>
      <c r="FY53" s="18"/>
      <c r="FZ53" s="18"/>
      <c r="GB53" s="18"/>
      <c r="GC53" s="481"/>
      <c r="GD53" s="8"/>
      <c r="GE53" s="8"/>
      <c r="GF53" s="8"/>
      <c r="GG53" s="8"/>
      <c r="GI53" s="18"/>
      <c r="GJ53" s="18"/>
      <c r="GK53" s="18"/>
      <c r="GL53" s="18"/>
      <c r="GM53" s="18"/>
      <c r="GN53" s="18"/>
      <c r="GO53" s="18"/>
      <c r="GP53" s="18"/>
    </row>
    <row r="54" spans="1:198" ht="15.6" x14ac:dyDescent="0.3">
      <c r="A54" s="62" t="s">
        <v>38</v>
      </c>
      <c r="B54" s="223"/>
      <c r="C54" s="63" t="str">
        <f t="shared" si="568"/>
        <v>Gaffel</v>
      </c>
      <c r="D54" s="63"/>
      <c r="E54" s="63"/>
      <c r="F54" s="63"/>
      <c r="G54" s="56"/>
      <c r="H54" s="209">
        <f t="shared" si="543"/>
        <v>99</v>
      </c>
      <c r="I54" s="65">
        <f t="shared" si="544"/>
        <v>2</v>
      </c>
      <c r="J54" s="228">
        <f t="shared" si="545"/>
        <v>96.3</v>
      </c>
      <c r="K54" s="119">
        <f t="shared" si="546"/>
        <v>1.0875699052021908</v>
      </c>
      <c r="L54" s="119">
        <f t="shared" si="547"/>
        <v>0.94268057501871549</v>
      </c>
      <c r="M54" s="95">
        <f t="shared" si="548"/>
        <v>0.81931464174454827</v>
      </c>
      <c r="N54" s="265">
        <f t="shared" si="549"/>
        <v>1.0285949928485048</v>
      </c>
      <c r="O54" s="147"/>
      <c r="P54" s="147"/>
      <c r="Q54" s="147"/>
      <c r="R54" s="147"/>
      <c r="S54" s="147"/>
      <c r="T54" s="88">
        <f t="shared" ref="T54" si="597">T53</f>
        <v>26.7</v>
      </c>
      <c r="U54" s="148"/>
      <c r="V54" s="181">
        <f>V47</f>
        <v>69.599999999999994</v>
      </c>
      <c r="W54" s="148"/>
      <c r="X54" s="148"/>
      <c r="Y54" s="147"/>
      <c r="Z54" s="147"/>
      <c r="AA54" s="147"/>
      <c r="AB54" s="147"/>
      <c r="AC54" s="147"/>
      <c r="AD54" s="148"/>
      <c r="AE54" s="260">
        <f t="shared" si="570"/>
        <v>15.6</v>
      </c>
      <c r="AF54" s="375">
        <f t="shared" si="577"/>
        <v>0</v>
      </c>
      <c r="AG54" s="377"/>
      <c r="AH54" s="375">
        <f t="shared" si="577"/>
        <v>0</v>
      </c>
      <c r="AI54" s="377"/>
      <c r="AJ54" s="295" t="str">
        <f t="shared" ref="AJ54" si="598" xml:space="preserve"> AJ53</f>
        <v>Lystb</v>
      </c>
      <c r="AK54" s="47">
        <f>VLOOKUP(AJ54,Skrogform!$1:$1048576,3,FALSE)</f>
        <v>0.98</v>
      </c>
      <c r="AL54" s="66">
        <f t="shared" si="573"/>
        <v>14.32</v>
      </c>
      <c r="AM54" s="66">
        <f t="shared" si="573"/>
        <v>12.45</v>
      </c>
      <c r="AN54" s="66">
        <f t="shared" si="573"/>
        <v>3.85</v>
      </c>
      <c r="AO54" s="66">
        <f t="shared" si="573"/>
        <v>2.2999999999999998</v>
      </c>
      <c r="AP54" s="66">
        <f t="shared" si="573"/>
        <v>23</v>
      </c>
      <c r="AQ54" s="66">
        <f t="shared" si="573"/>
        <v>7</v>
      </c>
      <c r="AR54" s="66">
        <f t="shared" si="573"/>
        <v>2.5</v>
      </c>
      <c r="AS54" s="284">
        <f t="shared" si="573"/>
        <v>85</v>
      </c>
      <c r="AT54" s="284">
        <f t="shared" si="573"/>
        <v>250</v>
      </c>
      <c r="AU54" s="284">
        <f t="shared" ref="AU54:AV54" si="599">AU53</f>
        <v>200</v>
      </c>
      <c r="AV54" s="284">
        <f t="shared" si="599"/>
        <v>200</v>
      </c>
      <c r="AW54" s="284"/>
      <c r="AX54" s="284">
        <f t="shared" si="556"/>
        <v>0</v>
      </c>
      <c r="AY54" s="68"/>
      <c r="AZ54" s="68"/>
      <c r="BA54" s="289"/>
      <c r="BB54" s="68"/>
      <c r="BC54" s="179"/>
      <c r="BD54" s="68"/>
      <c r="BE54" s="68"/>
      <c r="BF54" s="67" t="str">
        <f t="shared" ref="BF54:BH54" si="600" xml:space="preserve"> BF53</f>
        <v>Seilrett</v>
      </c>
      <c r="BG54" s="295">
        <f t="shared" si="600"/>
        <v>4</v>
      </c>
      <c r="BH54" s="295">
        <f t="shared" si="600"/>
        <v>53</v>
      </c>
      <c r="BI54" s="47">
        <f t="shared" si="464"/>
        <v>1</v>
      </c>
      <c r="BJ54" s="61"/>
      <c r="BK54" s="61"/>
      <c r="BM54" s="51">
        <f t="shared" si="558"/>
        <v>0</v>
      </c>
      <c r="BN54" s="51">
        <f t="shared" si="558"/>
        <v>0</v>
      </c>
      <c r="BO54" s="51">
        <f t="shared" si="558"/>
        <v>0</v>
      </c>
      <c r="BP54" s="51">
        <f t="shared" si="558"/>
        <v>0</v>
      </c>
      <c r="BQ54" s="51">
        <f t="shared" si="558"/>
        <v>0</v>
      </c>
      <c r="BR54" s="51">
        <f t="shared" si="558"/>
        <v>26.7</v>
      </c>
      <c r="BS54" s="52">
        <f t="shared" si="559"/>
        <v>0</v>
      </c>
      <c r="BT54" s="88">
        <f t="shared" si="560"/>
        <v>0</v>
      </c>
      <c r="BU54" s="88">
        <f t="shared" si="560"/>
        <v>52.199999999999996</v>
      </c>
      <c r="BV54" s="88">
        <f t="shared" si="560"/>
        <v>0</v>
      </c>
      <c r="BW54" s="88">
        <f t="shared" si="560"/>
        <v>0</v>
      </c>
      <c r="BX54" s="88">
        <f t="shared" si="560"/>
        <v>0</v>
      </c>
      <c r="BY54" s="88">
        <f t="shared" si="560"/>
        <v>0</v>
      </c>
      <c r="BZ54" s="88">
        <f t="shared" si="560"/>
        <v>0</v>
      </c>
      <c r="CA54" s="88">
        <f t="shared" si="560"/>
        <v>0</v>
      </c>
      <c r="CB54" s="88">
        <f t="shared" si="560"/>
        <v>0</v>
      </c>
      <c r="CC54" s="88">
        <f t="shared" si="560"/>
        <v>0</v>
      </c>
      <c r="CD54" s="103">
        <f t="shared" si="561"/>
        <v>78.899999999999991</v>
      </c>
      <c r="CE54" s="52"/>
      <c r="CF54" s="107">
        <f t="shared" si="562"/>
        <v>96.3</v>
      </c>
      <c r="CG54" s="104">
        <f t="shared" si="563"/>
        <v>0.81931464174454827</v>
      </c>
      <c r="CH54" s="53">
        <f t="shared" si="564"/>
        <v>0.62128030193061412</v>
      </c>
      <c r="CI54" s="119">
        <f t="shared" si="565"/>
        <v>1.0875699052021908</v>
      </c>
      <c r="CJ54" s="53">
        <f t="shared" si="566"/>
        <v>0.94268057501871549</v>
      </c>
      <c r="CK54" s="209"/>
      <c r="CL54" s="209">
        <f t="shared" si="567"/>
        <v>99</v>
      </c>
      <c r="CM54" s="110">
        <f t="shared" si="234"/>
        <v>0.99030544775162344</v>
      </c>
      <c r="CN54" s="64">
        <f>IF(SeilBeregnet=0,"-",(SeilBeregnet)^(1/2)*StHfaktor/(Depl+DeplTillegg/1000+Vann/1000+Diesel/1000*0.84)^(1/3))</f>
        <v>3.1867059968833824</v>
      </c>
      <c r="CO54" s="64">
        <f t="shared" si="203"/>
        <v>1.8645705609129886</v>
      </c>
      <c r="CP54" s="64">
        <f t="shared" si="204"/>
        <v>1.878418417945126</v>
      </c>
      <c r="CQ54" s="110">
        <f t="shared" si="205"/>
        <v>1.0285949928485048</v>
      </c>
      <c r="CR54" s="172" t="str">
        <f t="shared" si="529"/>
        <v>-</v>
      </c>
      <c r="CS54" s="162"/>
      <c r="CT54" s="172" t="str">
        <f t="shared" si="530"/>
        <v>-</v>
      </c>
      <c r="CU54" s="164"/>
      <c r="CV54" s="195" t="s">
        <v>145</v>
      </c>
      <c r="CW54" s="64">
        <v>0.96</v>
      </c>
      <c r="CX54" s="64">
        <v>0.92</v>
      </c>
      <c r="CY54" s="64">
        <v>0.96</v>
      </c>
      <c r="CZ54" s="154"/>
      <c r="DA54" s="64">
        <f t="shared" si="210"/>
        <v>2.0374426801584842</v>
      </c>
      <c r="DB54" s="49">
        <f t="shared" si="206"/>
        <v>13.294797687861271</v>
      </c>
      <c r="DC54" s="50">
        <f t="shared" si="531"/>
        <v>0</v>
      </c>
      <c r="DE54" s="110">
        <f>IF(SeilBeregnet=0,"-",DE$7*(DG:DG+DE$6)*DL:DL*PropF+ErfaringsF+Dyp_F)</f>
        <v>0.95853004006912212</v>
      </c>
      <c r="DF54" s="144" t="str">
        <f t="shared" si="532"/>
        <v>-</v>
      </c>
      <c r="DG54" s="110">
        <f t="shared" si="533"/>
        <v>5.0523335725753</v>
      </c>
      <c r="DH54" s="136">
        <f>IF(SeilBeregnet=0,DH53,(SeilBeregnet^0.5/(Depl^0.3333))^DH$3*DH$7)</f>
        <v>3.1237380941297759</v>
      </c>
      <c r="DI54" s="136">
        <f>IF(SeilBeregnet=0,DI53,(SeilBeregnet^0.5/Lwl)^DI$3*DI$7)</f>
        <v>0</v>
      </c>
      <c r="DJ54" s="136">
        <f>IF(SeilBeregnet=0,DJ53,(0.1*Loa/Depl^0.3333)^DJ$3*DJ$7)</f>
        <v>0</v>
      </c>
      <c r="DK54" s="136">
        <f>IF(SeilBeregnet=0,DK53,((Loa)/Bredde)^DK$3*DK$7)</f>
        <v>1.9285954784455239</v>
      </c>
      <c r="DL54" s="110">
        <f>IF(SeilBeregnet=0,DL53,(Lwl)^DL$3)</f>
        <v>1.878418417945126</v>
      </c>
      <c r="DM54" s="136">
        <f>IF(SeilBeregnet=0,DM53,(Dypg/Loa)^DM$3*5*DM$7)</f>
        <v>2.0038371012863347</v>
      </c>
      <c r="DO54" s="110">
        <f t="shared" si="467"/>
        <v>1.0105157630118604</v>
      </c>
      <c r="DP54" s="110">
        <f t="shared" si="211"/>
        <v>0.94033653703848985</v>
      </c>
      <c r="DR54" s="110">
        <f t="shared" si="212"/>
        <v>0.95563882292758817</v>
      </c>
      <c r="DS54" s="125" t="str">
        <f t="shared" si="534"/>
        <v>-</v>
      </c>
      <c r="DT54" s="110">
        <f t="shared" si="535"/>
        <v>0.96221138136413631</v>
      </c>
      <c r="DU54" s="125" t="str">
        <f t="shared" si="536"/>
        <v>-</v>
      </c>
      <c r="DV54" s="110">
        <f>IF(SeilBeregnet=0,DV53,SeilBeregnet^0.5/Depl^0.33333)</f>
        <v>3.1234442740672717</v>
      </c>
      <c r="DW54" s="110">
        <f>IF(SeilBeregnet=0,DW53,Lwl^0.3333)</f>
        <v>2.317501078004538</v>
      </c>
      <c r="DX54" s="110">
        <f>IF(SeilBeregnet=0,DX53,((Loa+Lwl)/Bredde)^DX$3)</f>
        <v>1.6238537419499199</v>
      </c>
      <c r="DZ54" s="110">
        <f t="shared" si="537"/>
        <v>0.96484523914715981</v>
      </c>
      <c r="EB54" s="110">
        <f>IF(SeilBeregnet=0,EB53,SeilBeregnet^0.5/Depl^0.33333)</f>
        <v>3.1234442740672717</v>
      </c>
      <c r="EC54" s="110">
        <f>IF(SeilBeregnet=0,EC53,Lwl^EC$3)</f>
        <v>2.3176764073442899</v>
      </c>
      <c r="ED54" s="110">
        <f>IF(SeilBeregnet=0,ED53,((Loa+Lwl)/Bredde)^ED$3)</f>
        <v>1.9085394483088816</v>
      </c>
      <c r="EE54" s="110">
        <f t="shared" si="538"/>
        <v>0.95637636472525112</v>
      </c>
      <c r="EG54" s="110">
        <f>IF(SeilBeregnet=0,EG53,(EH54*EI54)^EG$3)</f>
        <v>5.0720166722161908</v>
      </c>
      <c r="EH54" s="110">
        <f>IF(SeilBeregnet=0,EH53,SeilBeregnet^0.5/Depl^0.33333)</f>
        <v>3.1234442740672717</v>
      </c>
      <c r="EI54" s="110">
        <f>IF(SeilBeregnet=0,EI53,((Loa+Lwl)/Bredde)^EI$3)</f>
        <v>1.6238537419499199</v>
      </c>
      <c r="EJ54" s="110">
        <f>IF(SeilBeregnet=0,EJ53,Lwl^EJ$3)</f>
        <v>1.878418417945126</v>
      </c>
      <c r="EK54" s="110">
        <f>IF(SeilBeregnet=0,"-",EK$7*(EK$4*EM:EM+EK$6)*EP:EP*PropF+ErfaringsF+Dyp_F)</f>
        <v>0.95877158287118414</v>
      </c>
      <c r="EM54" s="110">
        <f>IF(SeilBeregnet=0,EM53,(EN:EN*EO:EO)^EM$3)</f>
        <v>1.8002027878365987</v>
      </c>
      <c r="EN54" s="110">
        <f>IF(SeilBeregnet=0,EN53,SeilBeregnet^0.5/Depl^0.33333)</f>
        <v>3.1234442740672717</v>
      </c>
      <c r="EO54" s="110">
        <f>IF(SeilBeregnet=0,EO53,((Loa+Lwl)/Bredde/6)^EO$3)</f>
        <v>1.0375501507234075</v>
      </c>
      <c r="EP54" s="110">
        <f>IF(SeilBeregnet=0,EP53,(Lwl*0.7+Loa*0.3)^EP$3)</f>
        <v>1.8992304700730467</v>
      </c>
      <c r="EQ54" s="110">
        <f>IF(SeilBeregnet=0,"-",EQ$7*(ES:ES+EQ$6)*EV:EV*PropF+ErfaringsF+Dyp_F)</f>
        <v>0.93561567184509009</v>
      </c>
      <c r="ES54" s="110">
        <f>(ET:ET*EU:EU)^ES$3</f>
        <v>1.8002874577091288</v>
      </c>
      <c r="ET54" s="110">
        <f>IF(SeilBeregnet=0,ET53,SeilBeregnet^0.5/Depl^0.3333)</f>
        <v>3.1237380941297759</v>
      </c>
      <c r="EU54" s="110">
        <f>IF(SeilBeregnet=0,EU53,((Loa+Lwl)/Bredde/6)^EU$3)</f>
        <v>1.0375501507234075</v>
      </c>
      <c r="EV54" s="110">
        <f>IF(SeilBeregnet=0,EV53,(Lwl*0.7+Loa*0.3)^EV$3)</f>
        <v>1.8992304700730467</v>
      </c>
      <c r="EW54" s="110">
        <f>IF(SeilBeregnet=0,"-",EW$7*(EY:EY+EW$6)*FB:FB*PropF+ErfaringsF+Dyp_F)</f>
        <v>0.97940027157321619</v>
      </c>
      <c r="EX54" s="144" t="str">
        <f t="shared" si="539"/>
        <v>-</v>
      </c>
      <c r="EY54" s="110">
        <f>(EZ:EZ*FA:FA)^EY$3</f>
        <v>3.362736280520576</v>
      </c>
      <c r="EZ54" s="136">
        <f>IF(SeilBeregnet=0,EZ53,(SeilBeregnet^0.5/(Depl^0.3333))^EZ$3)</f>
        <v>3.1237380941297759</v>
      </c>
      <c r="FA54" s="136">
        <f>IF(SeilBeregnet=0,FA53,((Loa+Lwl)/Bredde/6)^FA$3)</f>
        <v>1.0765103152661655</v>
      </c>
      <c r="FB54" s="110">
        <f>IF(SeilBeregnet=0,FB53,(Lwl*0.07+Loa*0.03)^FB$3)</f>
        <v>1.0680157793827667</v>
      </c>
      <c r="FC54" s="110">
        <f>IF(SeilBeregnet=0,"-",FC$7*(FE:FE+FC$6)*FI:FI*PropF+ErfaringsF+Dyp_F)</f>
        <v>0.94957076665892659</v>
      </c>
      <c r="FD54" s="144" t="str">
        <f t="shared" si="540"/>
        <v>-</v>
      </c>
      <c r="FE54" s="110">
        <f>(FF:FF+FG:FG+FH:FH)^FE$3+FE$7</f>
        <v>5.2657927851440531</v>
      </c>
      <c r="FF54" s="136">
        <f>IF(SeilBeregnet=0,FF53,(SeilBeregnet^0.5/(Depl^0.3333))^FF$3)</f>
        <v>3.1237380941297759</v>
      </c>
      <c r="FG54" s="136">
        <f>IF(SeilBeregnet=0,FG53,(SeilBeregnet^0.5/Lwl*FG$7)^FG$3)</f>
        <v>0.71345921256875355</v>
      </c>
      <c r="FH54" s="136">
        <f>IF(SeilBeregnet=0,FH53,((Loa)/Bredde)^FH$3*FH$7)</f>
        <v>1.9285954784455239</v>
      </c>
      <c r="FI54" s="110">
        <f>IF(SeilBeregnet=0,FI53,(Lwl)^FI$3)</f>
        <v>1.878418417945126</v>
      </c>
      <c r="FJ54" s="110">
        <f>IF(SeilBeregnet=0,"-",FJ$7*(FL:FL+FJ$6)*FO:FO*PropF+ErfaringsF+Dyp_F)</f>
        <v>0.97916356795700421</v>
      </c>
      <c r="FK54" s="144" t="str">
        <f t="shared" si="541"/>
        <v>-</v>
      </c>
      <c r="FL54" s="110">
        <f>(FM:FM*FN:FN)^FL$3</f>
        <v>6.024427164186724</v>
      </c>
      <c r="FM54" s="136">
        <f>IF(SeilBeregnet=0,FM53,(SeilBeregnet^0.5/(Depl^0.3333))^FM$3)</f>
        <v>3.1237380941297759</v>
      </c>
      <c r="FN54" s="136">
        <f>IF(SeilBeregnet=0,FN53,(Loa/Bredde)^FN$3)</f>
        <v>1.9285954784455239</v>
      </c>
      <c r="FO54" s="110">
        <f>IF(SeilBeregnet=0,FO53,Lwl^FO$3)</f>
        <v>1.878418417945126</v>
      </c>
      <c r="FQ54">
        <v>0.95</v>
      </c>
      <c r="FR54" s="64">
        <f t="shared" si="542"/>
        <v>1.1776583438442008</v>
      </c>
      <c r="FS54" s="479"/>
      <c r="FT54" s="18"/>
      <c r="FU54" s="481"/>
      <c r="FV54" s="504"/>
      <c r="FW54" s="18"/>
      <c r="FX54" s="18"/>
      <c r="FY54" s="18"/>
      <c r="FZ54" s="18"/>
      <c r="GB54" s="18"/>
      <c r="GC54" s="481"/>
      <c r="GD54" s="8"/>
      <c r="GE54" s="8"/>
      <c r="GF54" s="8"/>
      <c r="GG54" s="8"/>
      <c r="GI54" s="18"/>
      <c r="GJ54" s="18"/>
      <c r="GK54" s="18"/>
      <c r="GL54" s="18"/>
      <c r="GM54" s="18"/>
      <c r="GN54" s="18"/>
      <c r="GO54" s="18"/>
      <c r="GP54" s="18"/>
    </row>
    <row r="55" spans="1:198" ht="15.6" x14ac:dyDescent="0.3">
      <c r="A55" s="62" t="s">
        <v>39</v>
      </c>
      <c r="B55" s="223"/>
      <c r="C55" s="63" t="str">
        <f t="shared" si="568"/>
        <v>Gaffel</v>
      </c>
      <c r="D55" s="63"/>
      <c r="E55" s="63"/>
      <c r="F55" s="63"/>
      <c r="G55" s="56"/>
      <c r="H55" s="209">
        <f t="shared" si="543"/>
        <v>93</v>
      </c>
      <c r="I55" s="65">
        <f t="shared" si="544"/>
        <v>2</v>
      </c>
      <c r="J55" s="228">
        <f t="shared" si="545"/>
        <v>80.3</v>
      </c>
      <c r="K55" s="119">
        <f t="shared" si="546"/>
        <v>0.90687293237524325</v>
      </c>
      <c r="L55" s="119">
        <f t="shared" si="547"/>
        <v>0.78605659578403797</v>
      </c>
      <c r="M55" s="95">
        <f t="shared" si="548"/>
        <v>0.79975093399750941</v>
      </c>
      <c r="N55" s="265">
        <f t="shared" si="549"/>
        <v>1.0285949928485048</v>
      </c>
      <c r="O55" s="147"/>
      <c r="P55" s="147"/>
      <c r="Q55" s="147"/>
      <c r="R55" s="147"/>
      <c r="S55" s="147"/>
      <c r="T55" s="88">
        <f t="shared" ref="T55" si="601">T54</f>
        <v>26.7</v>
      </c>
      <c r="U55" s="148"/>
      <c r="V55" s="148"/>
      <c r="W55" s="181">
        <f>W47</f>
        <v>53.599999999999994</v>
      </c>
      <c r="X55" s="148"/>
      <c r="Y55" s="147"/>
      <c r="Z55" s="147"/>
      <c r="AA55" s="147"/>
      <c r="AB55" s="147"/>
      <c r="AC55" s="147"/>
      <c r="AD55" s="148"/>
      <c r="AE55" s="260">
        <f t="shared" si="570"/>
        <v>15.6</v>
      </c>
      <c r="AF55" s="375">
        <f t="shared" si="577"/>
        <v>0</v>
      </c>
      <c r="AG55" s="377"/>
      <c r="AH55" s="375">
        <f t="shared" si="577"/>
        <v>0</v>
      </c>
      <c r="AI55" s="377"/>
      <c r="AJ55" s="295" t="str">
        <f t="shared" ref="AJ55" si="602" xml:space="preserve"> AJ54</f>
        <v>Lystb</v>
      </c>
      <c r="AK55" s="47">
        <f>VLOOKUP(AJ55,Skrogform!$1:$1048576,3,FALSE)</f>
        <v>0.98</v>
      </c>
      <c r="AL55" s="66">
        <f t="shared" si="573"/>
        <v>14.32</v>
      </c>
      <c r="AM55" s="66">
        <f t="shared" si="573"/>
        <v>12.45</v>
      </c>
      <c r="AN55" s="66">
        <f t="shared" si="573"/>
        <v>3.85</v>
      </c>
      <c r="AO55" s="66">
        <f t="shared" si="573"/>
        <v>2.2999999999999998</v>
      </c>
      <c r="AP55" s="66">
        <f t="shared" si="573"/>
        <v>23</v>
      </c>
      <c r="AQ55" s="66">
        <f t="shared" si="573"/>
        <v>7</v>
      </c>
      <c r="AR55" s="66">
        <f t="shared" si="573"/>
        <v>2.5</v>
      </c>
      <c r="AS55" s="284">
        <f t="shared" si="573"/>
        <v>85</v>
      </c>
      <c r="AT55" s="284">
        <f t="shared" si="573"/>
        <v>250</v>
      </c>
      <c r="AU55" s="284">
        <f t="shared" ref="AU55:AV55" si="603">AU54</f>
        <v>200</v>
      </c>
      <c r="AV55" s="284">
        <f t="shared" si="603"/>
        <v>200</v>
      </c>
      <c r="AW55" s="284"/>
      <c r="AX55" s="284">
        <f t="shared" si="556"/>
        <v>0</v>
      </c>
      <c r="AY55" s="68"/>
      <c r="AZ55" s="68"/>
      <c r="BA55" s="289"/>
      <c r="BB55" s="68"/>
      <c r="BC55" s="179"/>
      <c r="BD55" s="68"/>
      <c r="BE55" s="68"/>
      <c r="BF55" s="67" t="str">
        <f t="shared" ref="BF55:BH55" si="604" xml:space="preserve"> BF54</f>
        <v>Seilrett</v>
      </c>
      <c r="BG55" s="295">
        <f t="shared" si="604"/>
        <v>4</v>
      </c>
      <c r="BH55" s="295">
        <f t="shared" si="604"/>
        <v>53</v>
      </c>
      <c r="BI55" s="47">
        <f t="shared" si="464"/>
        <v>1</v>
      </c>
      <c r="BJ55" s="61"/>
      <c r="BK55" s="61"/>
      <c r="BM55" s="51">
        <f t="shared" si="558"/>
        <v>0</v>
      </c>
      <c r="BN55" s="51">
        <f t="shared" si="558"/>
        <v>0</v>
      </c>
      <c r="BO55" s="51">
        <f t="shared" si="558"/>
        <v>0</v>
      </c>
      <c r="BP55" s="51">
        <f t="shared" si="558"/>
        <v>0</v>
      </c>
      <c r="BQ55" s="51">
        <f t="shared" si="558"/>
        <v>0</v>
      </c>
      <c r="BR55" s="51">
        <f t="shared" si="558"/>
        <v>26.7</v>
      </c>
      <c r="BS55" s="52">
        <f t="shared" si="559"/>
        <v>0</v>
      </c>
      <c r="BT55" s="88">
        <f t="shared" si="560"/>
        <v>0</v>
      </c>
      <c r="BU55" s="88">
        <f t="shared" si="560"/>
        <v>0</v>
      </c>
      <c r="BV55" s="88">
        <f t="shared" si="560"/>
        <v>37.519999999999996</v>
      </c>
      <c r="BW55" s="88">
        <f t="shared" si="560"/>
        <v>0</v>
      </c>
      <c r="BX55" s="88">
        <f t="shared" si="560"/>
        <v>0</v>
      </c>
      <c r="BY55" s="88">
        <f t="shared" si="560"/>
        <v>0</v>
      </c>
      <c r="BZ55" s="88">
        <f t="shared" si="560"/>
        <v>0</v>
      </c>
      <c r="CA55" s="88">
        <f t="shared" si="560"/>
        <v>0</v>
      </c>
      <c r="CB55" s="88">
        <f t="shared" si="560"/>
        <v>0</v>
      </c>
      <c r="CC55" s="88">
        <f t="shared" si="560"/>
        <v>0</v>
      </c>
      <c r="CD55" s="103">
        <f t="shared" si="561"/>
        <v>64.22</v>
      </c>
      <c r="CE55" s="52"/>
      <c r="CF55" s="107">
        <f t="shared" si="562"/>
        <v>80.3</v>
      </c>
      <c r="CG55" s="104">
        <f t="shared" si="563"/>
        <v>0.79975093399750941</v>
      </c>
      <c r="CH55" s="53">
        <f t="shared" si="564"/>
        <v>0.51805616038450997</v>
      </c>
      <c r="CI55" s="119">
        <f t="shared" si="565"/>
        <v>0.90687293237524325</v>
      </c>
      <c r="CJ55" s="53">
        <f t="shared" si="566"/>
        <v>0.78605659578403797</v>
      </c>
      <c r="CK55" s="209"/>
      <c r="CL55" s="209">
        <f t="shared" si="567"/>
        <v>93</v>
      </c>
      <c r="CM55" s="110">
        <f t="shared" si="234"/>
        <v>0.92919635695864189</v>
      </c>
      <c r="CN55" s="64">
        <f>IF(SeilBeregnet=0,"-",(SeilBeregnet)^(1/2)*StHfaktor/(Depl+DeplTillegg/1000+Vann/1000+Diesel/1000*0.84)^(1/3))</f>
        <v>2.8750052802088875</v>
      </c>
      <c r="CO55" s="64">
        <f t="shared" si="203"/>
        <v>1.8645705609129886</v>
      </c>
      <c r="CP55" s="64">
        <f t="shared" si="204"/>
        <v>1.878418417945126</v>
      </c>
      <c r="CQ55" s="110">
        <f t="shared" si="205"/>
        <v>1.0285949928485048</v>
      </c>
      <c r="CR55" s="172" t="str">
        <f t="shared" si="529"/>
        <v>-</v>
      </c>
      <c r="CS55" s="162"/>
      <c r="CT55" s="172" t="str">
        <f t="shared" si="530"/>
        <v>-</v>
      </c>
      <c r="CU55" s="164"/>
      <c r="CV55" s="195" t="s">
        <v>145</v>
      </c>
      <c r="CW55" s="64">
        <v>0.92</v>
      </c>
      <c r="CX55" s="64">
        <v>0.9</v>
      </c>
      <c r="CY55" s="64">
        <v>0.92</v>
      </c>
      <c r="CZ55" s="154"/>
      <c r="DA55" s="64">
        <f t="shared" si="210"/>
        <v>2.0374426801584842</v>
      </c>
      <c r="DB55" s="49">
        <f t="shared" si="206"/>
        <v>13.294797687861271</v>
      </c>
      <c r="DC55" s="50">
        <f t="shared" si="531"/>
        <v>0</v>
      </c>
      <c r="DE55" s="110">
        <f>IF(SeilBeregnet=0,"-",DE$7*(DG:DG+DE$6)*DL:DL*PropF+ErfaringsF+Dyp_F)</f>
        <v>0.90056259906526148</v>
      </c>
      <c r="DF55" s="144" t="str">
        <f t="shared" si="532"/>
        <v>-</v>
      </c>
      <c r="DG55" s="110">
        <f t="shared" si="533"/>
        <v>4.7467919243667955</v>
      </c>
      <c r="DH55" s="136">
        <f>IF(SeilBeregnet=0,DH54,(SeilBeregnet^0.5/(Depl^0.3333))^DH$3*DH$7)</f>
        <v>2.8181964459212718</v>
      </c>
      <c r="DI55" s="136">
        <f>IF(SeilBeregnet=0,DI54,(SeilBeregnet^0.5/Lwl)^DI$3*DI$7)</f>
        <v>0</v>
      </c>
      <c r="DJ55" s="136">
        <f>IF(SeilBeregnet=0,DJ54,(0.1*Loa/Depl^0.3333)^DJ$3*DJ$7)</f>
        <v>0</v>
      </c>
      <c r="DK55" s="136">
        <f>IF(SeilBeregnet=0,DK54,((Loa)/Bredde)^DK$3*DK$7)</f>
        <v>1.9285954784455239</v>
      </c>
      <c r="DL55" s="110">
        <f>IF(SeilBeregnet=0,DL54,(Lwl)^DL$3)</f>
        <v>1.878418417945126</v>
      </c>
      <c r="DM55" s="136">
        <f>IF(SeilBeregnet=0,DM54,(Dypg/Loa)^DM$3*5*DM$7)</f>
        <v>2.0038371012863347</v>
      </c>
      <c r="DO55" s="110">
        <f t="shared" si="467"/>
        <v>0.94815954791698154</v>
      </c>
      <c r="DP55" s="110">
        <f t="shared" si="211"/>
        <v>0.86765917598943398</v>
      </c>
      <c r="DR55" s="110">
        <f t="shared" si="212"/>
        <v>0.89502307341807963</v>
      </c>
      <c r="DS55" s="125" t="str">
        <f t="shared" si="534"/>
        <v>-</v>
      </c>
      <c r="DT55" s="110">
        <f t="shared" si="535"/>
        <v>0.89016138825301605</v>
      </c>
      <c r="DU55" s="125" t="str">
        <f t="shared" si="536"/>
        <v>-</v>
      </c>
      <c r="DV55" s="110">
        <f>IF(SeilBeregnet=0,DV54,SeilBeregnet^0.5/Depl^0.33333)</f>
        <v>2.8179313652291849</v>
      </c>
      <c r="DW55" s="110">
        <f>IF(SeilBeregnet=0,DW54,Lwl^0.3333)</f>
        <v>2.317501078004538</v>
      </c>
      <c r="DX55" s="110">
        <f>IF(SeilBeregnet=0,DX54,((Loa+Lwl)/Bredde)^DX$3)</f>
        <v>1.6238537419499199</v>
      </c>
      <c r="DZ55" s="110">
        <f t="shared" si="537"/>
        <v>0.89904591680652635</v>
      </c>
      <c r="EB55" s="110">
        <f>IF(SeilBeregnet=0,EB54,SeilBeregnet^0.5/Depl^0.33333)</f>
        <v>2.8179313652291849</v>
      </c>
      <c r="EC55" s="110">
        <f>IF(SeilBeregnet=0,EC54,Lwl^EC$3)</f>
        <v>2.3176764073442899</v>
      </c>
      <c r="ED55" s="110">
        <f>IF(SeilBeregnet=0,ED54,((Loa+Lwl)/Bredde)^ED$3)</f>
        <v>1.9085394483088816</v>
      </c>
      <c r="EE55" s="110">
        <f t="shared" si="538"/>
        <v>0.88928570932264184</v>
      </c>
      <c r="EG55" s="110">
        <f>IF(SeilBeregnet=0,EG54,(EH55*EI55)^EG$3)</f>
        <v>4.5759083919854584</v>
      </c>
      <c r="EH55" s="110">
        <f>IF(SeilBeregnet=0,EH54,SeilBeregnet^0.5/Depl^0.33333)</f>
        <v>2.8179313652291849</v>
      </c>
      <c r="EI55" s="110">
        <f>IF(SeilBeregnet=0,EI54,((Loa+Lwl)/Bredde)^EI$3)</f>
        <v>1.6238537419499199</v>
      </c>
      <c r="EJ55" s="110">
        <f>IF(SeilBeregnet=0,EJ54,Lwl^EJ$3)</f>
        <v>1.878418417945126</v>
      </c>
      <c r="EK55" s="110">
        <f>IF(SeilBeregnet=0,"-",EK$7*(EK$4*EM:EM+EK$6)*EP:EP*PropF+ErfaringsF+Dyp_F)</f>
        <v>0.8921793839362876</v>
      </c>
      <c r="EM55" s="110">
        <f>IF(SeilBeregnet=0,EM54,(EN:EN*EO:EO)^EM$3)</f>
        <v>1.7098962286413051</v>
      </c>
      <c r="EN55" s="110">
        <f>IF(SeilBeregnet=0,EN54,SeilBeregnet^0.5/Depl^0.33333)</f>
        <v>2.8179313652291849</v>
      </c>
      <c r="EO55" s="110">
        <f>IF(SeilBeregnet=0,EO54,((Loa+Lwl)/Bredde/6)^EO$3)</f>
        <v>1.0375501507234075</v>
      </c>
      <c r="EP55" s="110">
        <f>IF(SeilBeregnet=0,EP54,(Lwl*0.7+Loa*0.3)^EP$3)</f>
        <v>1.8992304700730467</v>
      </c>
      <c r="EQ55" s="110">
        <f>IF(SeilBeregnet=0,"-",EQ$7*(ES:ES+EQ$6)*EV:EV*PropF+ErfaringsF+Dyp_F)</f>
        <v>0.88868083060142011</v>
      </c>
      <c r="ES55" s="110">
        <f>(ET:ET*EU:EU)^ES$3</f>
        <v>1.7099766510785424</v>
      </c>
      <c r="ET55" s="110">
        <f>IF(SeilBeregnet=0,ET54,SeilBeregnet^0.5/Depl^0.3333)</f>
        <v>2.8181964459212718</v>
      </c>
      <c r="EU55" s="110">
        <f>IF(SeilBeregnet=0,EU54,((Loa+Lwl)/Bredde/6)^EU$3)</f>
        <v>1.0375501507234075</v>
      </c>
      <c r="EV55" s="110">
        <f>IF(SeilBeregnet=0,EV54,(Lwl*0.7+Loa*0.3)^EV$3)</f>
        <v>1.8992304700730467</v>
      </c>
      <c r="EW55" s="110">
        <f>IF(SeilBeregnet=0,"-",EW$7*(EY:EY+EW$6)*FB:FB*PropF+ErfaringsF+Dyp_F)</f>
        <v>0.91932961313470229</v>
      </c>
      <c r="EX55" s="144" t="str">
        <f t="shared" si="539"/>
        <v>-</v>
      </c>
      <c r="EY55" s="110">
        <f>(EZ:EZ*FA:FA)^EY$3</f>
        <v>3.0338175444806952</v>
      </c>
      <c r="EZ55" s="136">
        <f>IF(SeilBeregnet=0,EZ54,(SeilBeregnet^0.5/(Depl^0.3333))^EZ$3)</f>
        <v>2.8181964459212718</v>
      </c>
      <c r="FA55" s="136">
        <f>IF(SeilBeregnet=0,FA54,((Loa+Lwl)/Bredde/6)^FA$3)</f>
        <v>1.0765103152661655</v>
      </c>
      <c r="FB55" s="110">
        <f>IF(SeilBeregnet=0,FB54,(Lwl*0.07+Loa*0.03)^FB$3)</f>
        <v>1.0680157793827667</v>
      </c>
      <c r="FC55" s="110">
        <f>IF(SeilBeregnet=0,"-",FC$7*(FE:FE+FC$6)*FI:FI*PropF+ErfaringsF+Dyp_F)</f>
        <v>0.88188871656262258</v>
      </c>
      <c r="FD55" s="144" t="str">
        <f t="shared" si="540"/>
        <v>-</v>
      </c>
      <c r="FE55" s="110">
        <f>(FF:FF+FG:FG+FH:FH)^FE$3+FE$7</f>
        <v>4.8904656756808258</v>
      </c>
      <c r="FF55" s="136">
        <f>IF(SeilBeregnet=0,FF54,(SeilBeregnet^0.5/(Depl^0.3333))^FF$3)</f>
        <v>2.8181964459212718</v>
      </c>
      <c r="FG55" s="136">
        <f>IF(SeilBeregnet=0,FG54,(SeilBeregnet^0.5/Lwl*FG$7)^FG$3)</f>
        <v>0.64367375131402971</v>
      </c>
      <c r="FH55" s="136">
        <f>IF(SeilBeregnet=0,FH54,((Loa)/Bredde)^FH$3*FH$7)</f>
        <v>1.9285954784455239</v>
      </c>
      <c r="FI55" s="110">
        <f>IF(SeilBeregnet=0,FI54,(Lwl)^FI$3)</f>
        <v>1.878418417945126</v>
      </c>
      <c r="FJ55" s="110">
        <f>IF(SeilBeregnet=0,"-",FJ$7*(FL:FL+FJ$6)*FO:FO*PropF+ErfaringsF+Dyp_F)</f>
        <v>0.92160536280760441</v>
      </c>
      <c r="FK55" s="144" t="str">
        <f t="shared" si="541"/>
        <v>-</v>
      </c>
      <c r="FL55" s="110">
        <f>(FM:FM*FN:FN)^FL$3</f>
        <v>5.43516092297501</v>
      </c>
      <c r="FM55" s="136">
        <f>IF(SeilBeregnet=0,FM54,(SeilBeregnet^0.5/(Depl^0.3333))^FM$3)</f>
        <v>2.8181964459212718</v>
      </c>
      <c r="FN55" s="136">
        <f>IF(SeilBeregnet=0,FN54,(Loa/Bredde)^FN$3)</f>
        <v>1.9285954784455239</v>
      </c>
      <c r="FO55" s="110">
        <f>IF(SeilBeregnet=0,FO54,Lwl^FO$3)</f>
        <v>1.878418417945126</v>
      </c>
      <c r="FQ55">
        <v>0.95</v>
      </c>
      <c r="FR55" s="64">
        <f t="shared" si="542"/>
        <v>1.1266671292963781</v>
      </c>
      <c r="FS55" s="479"/>
      <c r="FT55" s="18"/>
      <c r="FU55" s="481"/>
      <c r="FV55" s="504"/>
      <c r="FW55" s="18"/>
      <c r="FX55" s="18"/>
      <c r="FY55" s="18"/>
      <c r="FZ55" s="18"/>
      <c r="GB55" s="18"/>
      <c r="GC55" s="481"/>
      <c r="GD55" s="8"/>
      <c r="GE55" s="8"/>
      <c r="GF55" s="8"/>
      <c r="GG55" s="8"/>
      <c r="GI55" s="18"/>
      <c r="GJ55" s="18"/>
      <c r="GK55" s="18"/>
      <c r="GL55" s="18"/>
      <c r="GM55" s="18"/>
      <c r="GN55" s="18"/>
      <c r="GO55" s="18"/>
      <c r="GP55" s="18"/>
    </row>
    <row r="56" spans="1:198" ht="15.6" x14ac:dyDescent="0.3">
      <c r="A56" s="54" t="s">
        <v>733</v>
      </c>
      <c r="B56" s="223">
        <f t="shared" si="199"/>
        <v>31.824146981627294</v>
      </c>
      <c r="C56" s="55" t="s">
        <v>41</v>
      </c>
      <c r="D56" s="55"/>
      <c r="E56" s="55"/>
      <c r="F56" s="55"/>
      <c r="G56" s="56"/>
      <c r="H56" s="209"/>
      <c r="I56" s="126" t="str">
        <f>A56</f>
        <v>Taralden</v>
      </c>
      <c r="J56" s="229"/>
      <c r="K56" s="119"/>
      <c r="L56" s="119"/>
      <c r="M56" s="95"/>
      <c r="N56" s="265"/>
      <c r="O56" s="169"/>
      <c r="P56" s="169">
        <v>27</v>
      </c>
      <c r="Q56" s="169">
        <v>10</v>
      </c>
      <c r="R56" s="169"/>
      <c r="S56" s="169"/>
      <c r="T56" s="169">
        <v>17</v>
      </c>
      <c r="U56" s="169"/>
      <c r="V56" s="169"/>
      <c r="W56" s="169"/>
      <c r="X56" s="169"/>
      <c r="Y56" s="169"/>
      <c r="Z56" s="169"/>
      <c r="AA56" s="169"/>
      <c r="AB56" s="169">
        <v>17</v>
      </c>
      <c r="AC56" s="169"/>
      <c r="AD56" s="169"/>
      <c r="AE56" s="270">
        <v>9.8000000000000007</v>
      </c>
      <c r="AF56" s="296"/>
      <c r="AG56" s="377"/>
      <c r="AH56" s="296"/>
      <c r="AI56" s="377"/>
      <c r="AJ56" s="296" t="s">
        <v>240</v>
      </c>
      <c r="AK56" s="47">
        <f>VLOOKUP(AJ56,Skrogform!$1:$1048576,3,FALSE)</f>
        <v>1</v>
      </c>
      <c r="AL56" s="57">
        <v>9.6999999999999993</v>
      </c>
      <c r="AM56" s="57">
        <v>8.8000000000000007</v>
      </c>
      <c r="AN56" s="57">
        <v>2.7</v>
      </c>
      <c r="AO56" s="57">
        <v>1.4</v>
      </c>
      <c r="AP56" s="57">
        <v>5.8</v>
      </c>
      <c r="AQ56" s="57">
        <v>2.6</v>
      </c>
      <c r="AR56" s="57">
        <v>0.03</v>
      </c>
      <c r="AS56" s="281">
        <v>31</v>
      </c>
      <c r="AT56" s="281">
        <v>150</v>
      </c>
      <c r="AU56" s="281">
        <v>50</v>
      </c>
      <c r="AV56" s="281">
        <v>100</v>
      </c>
      <c r="AW56" s="270">
        <f>Depl+Diesel/1000+Vann/1000</f>
        <v>5.9499999999999993</v>
      </c>
      <c r="AX56" s="281"/>
      <c r="AY56" s="98">
        <f>Bredde/(Loa+Lwl)*2</f>
        <v>0.29189189189189191</v>
      </c>
      <c r="AZ56" s="98">
        <f>(Kjøl+Ballast)/Depl</f>
        <v>0.45344827586206898</v>
      </c>
      <c r="BA56" s="288">
        <f>BA$7*((Depl-Kjøl-Ballast-VektMotor/1000-VektAnnet/1000)/Loa/Lwl/Bredde)</f>
        <v>0.56696321909278746</v>
      </c>
      <c r="BB56" s="98">
        <f>BB$7*(Depl/Loa/Lwl/Lwl)</f>
        <v>0.57980115266478072</v>
      </c>
      <c r="BC56" s="178">
        <f>BC$7*(Depl/Loa/Lwl/Bredde)</f>
        <v>0.69850624645359571</v>
      </c>
      <c r="BD56" s="98">
        <f>BD$7*Bredde/(Loa+Lwl)*2</f>
        <v>0.83267654751525721</v>
      </c>
      <c r="BE56" s="98">
        <f>BE$7*(Dypg/Lwl)</f>
        <v>0.87015810276679828</v>
      </c>
      <c r="BF56" s="58" t="s">
        <v>24</v>
      </c>
      <c r="BG56" s="296">
        <v>2</v>
      </c>
      <c r="BH56" s="296">
        <v>43</v>
      </c>
      <c r="BI56" s="47">
        <f t="shared" si="464"/>
        <v>1</v>
      </c>
      <c r="BJ56" s="61"/>
      <c r="BK56" s="61"/>
      <c r="BM56" s="214"/>
      <c r="BN56" s="214" t="str">
        <f>$A56</f>
        <v>Taralden</v>
      </c>
      <c r="BO56" s="10"/>
      <c r="BP56" s="10"/>
      <c r="BQ56" s="10"/>
      <c r="BR56" s="10"/>
      <c r="BS56" s="52"/>
      <c r="BT56" s="214" t="str">
        <f>$A56</f>
        <v>Taralden</v>
      </c>
      <c r="BU56" s="10"/>
      <c r="BV56" s="10"/>
      <c r="BW56" s="10"/>
      <c r="BX56" s="10"/>
      <c r="BY56" s="10"/>
      <c r="BZ56" s="10"/>
      <c r="CA56" s="10"/>
      <c r="CB56" s="10"/>
      <c r="CC56" s="10"/>
      <c r="CD56" s="214"/>
      <c r="CE56" s="10"/>
      <c r="CF56" s="214" t="str">
        <f>$A56</f>
        <v>Taralden</v>
      </c>
      <c r="CG56" s="212"/>
      <c r="CH56" s="212"/>
      <c r="CI56" s="119"/>
      <c r="CJ56" s="212"/>
      <c r="CK56" s="208"/>
      <c r="CL56" s="208" t="s">
        <v>26</v>
      </c>
      <c r="CM56" s="110" t="str">
        <f t="shared" si="234"/>
        <v>-</v>
      </c>
      <c r="CN56" s="64" t="str">
        <f>IF(SeilBeregnet=0,"-",(SeilBeregnet)^(1/2)*StHfaktor/(Depl+DeplTillegg/1000+Vann/1000+Diesel/1000*0.84)^(1/3))</f>
        <v>-</v>
      </c>
      <c r="CO56" s="64" t="str">
        <f t="shared" si="203"/>
        <v>-</v>
      </c>
      <c r="CP56" s="64" t="str">
        <f t="shared" si="204"/>
        <v>-</v>
      </c>
      <c r="CQ56" s="110" t="str">
        <f t="shared" si="205"/>
        <v>-</v>
      </c>
      <c r="CR56" s="172" t="str">
        <f t="shared" si="529"/>
        <v>-</v>
      </c>
      <c r="CS56" s="162"/>
      <c r="CT56" s="172" t="str">
        <f t="shared" si="530"/>
        <v>-</v>
      </c>
      <c r="CU56" s="164"/>
      <c r="CV56" s="195" t="s">
        <v>145</v>
      </c>
      <c r="CW56" s="30" t="s">
        <v>26</v>
      </c>
      <c r="CX56" s="30" t="s">
        <v>26</v>
      </c>
      <c r="CY56" s="30" t="s">
        <v>26</v>
      </c>
      <c r="CZ56" s="153">
        <v>2022</v>
      </c>
      <c r="DA56" s="64" t="str">
        <f t="shared" si="210"/>
        <v>-</v>
      </c>
      <c r="DB56" s="49">
        <f t="shared" si="206"/>
        <v>11.2</v>
      </c>
      <c r="DC56" s="50">
        <f t="shared" si="531"/>
        <v>0</v>
      </c>
      <c r="DE56" s="110" t="str">
        <f>IF(SeilBeregnet=0,"-",DE$7*(DG:DG+DE$6)*DL:DL*PropF+ErfaringsF+Dyp_F)</f>
        <v>-</v>
      </c>
      <c r="DF56" s="144" t="str">
        <f t="shared" si="532"/>
        <v>-</v>
      </c>
      <c r="DG56" s="110">
        <f t="shared" si="533"/>
        <v>5.297470974741767</v>
      </c>
      <c r="DH56" s="136">
        <f>IF(SeilBeregnet=0,DH32,(SeilBeregnet^0.5/(Depl^0.3333))^DH$3*DH$7)</f>
        <v>3.4328680180653302</v>
      </c>
      <c r="DI56" s="136">
        <f>IF(SeilBeregnet=0,DI32,(SeilBeregnet^0.5/Lwl)^DI$3*DI$7)</f>
        <v>0</v>
      </c>
      <c r="DJ56" s="136">
        <f>IF(SeilBeregnet=0,DJ32,(0.1*Loa/Depl^0.3333)^DJ$3*DJ$7)</f>
        <v>0</v>
      </c>
      <c r="DK56" s="136">
        <f>IF(SeilBeregnet=0,DK32,((Loa)/Bredde)^DK$3*DK$7)</f>
        <v>1.8646029566764373</v>
      </c>
      <c r="DL56" s="110">
        <f>IF(SeilBeregnet=0,DL32,(Lwl)^DL$3)</f>
        <v>1.8859172433475835</v>
      </c>
      <c r="DM56" s="136">
        <f>IF(SeilBeregnet=0,DM32,(Dypg/Loa)^DM$3*5*DM$7)</f>
        <v>2.0446520502738266</v>
      </c>
      <c r="DO56" s="110" t="str">
        <f t="shared" si="467"/>
        <v>-</v>
      </c>
      <c r="DP56" s="110" t="str">
        <f t="shared" si="211"/>
        <v>-</v>
      </c>
      <c r="DR56" s="110" t="str">
        <f t="shared" si="212"/>
        <v>-</v>
      </c>
      <c r="DS56" s="125" t="str">
        <f t="shared" si="534"/>
        <v>-</v>
      </c>
      <c r="DT56" s="110" t="str">
        <f t="shared" si="535"/>
        <v>-</v>
      </c>
      <c r="DU56" s="125" t="str">
        <f t="shared" si="536"/>
        <v>-</v>
      </c>
      <c r="DV56" s="110">
        <f>IF(SeilBeregnet=0,DV32,SeilBeregnet^0.5/Depl^0.33333)</f>
        <v>3.4325248646686957</v>
      </c>
      <c r="DW56" s="110">
        <f>IF(SeilBeregnet=0,DW32,Lwl^0.3333)</f>
        <v>2.3298436208665341</v>
      </c>
      <c r="DX56" s="110">
        <f>IF(SeilBeregnet=0,DX32,((Loa+Lwl)/Bredde)^DX$3)</f>
        <v>1.5916961163398649</v>
      </c>
      <c r="DZ56" s="110" t="str">
        <f t="shared" si="537"/>
        <v>-</v>
      </c>
      <c r="EB56" s="110">
        <f>IF(SeilBeregnet=0,EB32,SeilBeregnet^0.5/Depl^0.33333)</f>
        <v>3.4325248646686957</v>
      </c>
      <c r="EC56" s="110">
        <f>IF(SeilBeregnet=0,EC32,Lwl^EC$3)</f>
        <v>2.3300209979525235</v>
      </c>
      <c r="ED56" s="110">
        <f>IF(SeilBeregnet=0,ED32,((Loa+Lwl)/Bredde)^ED$3)</f>
        <v>1.8583176886572534</v>
      </c>
      <c r="EE56" s="110" t="str">
        <f t="shared" si="538"/>
        <v>-</v>
      </c>
      <c r="EG56" s="110">
        <f>IF(SeilBeregnet=0,EG32,(EH56*EI56)^EG$3)</f>
        <v>5.4635364963331829</v>
      </c>
      <c r="EH56" s="110">
        <f>IF(SeilBeregnet=0,EH32,SeilBeregnet^0.5/Depl^0.33333)</f>
        <v>3.4325248646686957</v>
      </c>
      <c r="EI56" s="110">
        <f>IF(SeilBeregnet=0,EI32,((Loa+Lwl)/Bredde)^EI$3)</f>
        <v>1.5916961163398649</v>
      </c>
      <c r="EJ56" s="110">
        <f>IF(SeilBeregnet=0,EJ32,Lwl^EJ$3)</f>
        <v>1.8859172433475835</v>
      </c>
      <c r="EK56" s="110" t="str">
        <f>IF(SeilBeregnet=0,"-",EK$7*(EK$4*EM:EM+EK$6)*EP:EP*PropF+ErfaringsF+Dyp_F)</f>
        <v>-</v>
      </c>
      <c r="EM56" s="110">
        <f>IF(SeilBeregnet=0,EM32,(EN:EN*EO:EO)^EM$3)</f>
        <v>1.8683920812104529</v>
      </c>
      <c r="EN56" s="110">
        <f>IF(SeilBeregnet=0,EN32,SeilBeregnet^0.5/Depl^0.33333)</f>
        <v>3.4325248646686957</v>
      </c>
      <c r="EO56" s="110">
        <f>IF(SeilBeregnet=0,EO32,((Loa+Lwl)/Bredde/6)^EO$3)</f>
        <v>1.0170032575909294</v>
      </c>
      <c r="EP56" s="110">
        <f>IF(SeilBeregnet=0,EP32,(Lwl*0.7+Loa*0.3)^EP$3)</f>
        <v>1.9111244003334622</v>
      </c>
      <c r="EQ56" s="110" t="str">
        <f>IF(SeilBeregnet=0,"-",EQ$7*(ES:ES+EQ$6)*EV:EV*PropF+ErfaringsF+Dyp_F)</f>
        <v>-</v>
      </c>
      <c r="ES56" s="110">
        <f>(ET:ET*EU:EU)^ES$3</f>
        <v>1.8684854715121972</v>
      </c>
      <c r="ET56" s="110">
        <f>IF(SeilBeregnet=0,ET32,SeilBeregnet^0.5/Depl^0.3333)</f>
        <v>3.4328680180653302</v>
      </c>
      <c r="EU56" s="110">
        <f>IF(SeilBeregnet=0,EU32,((Loa+Lwl)/Bredde/6)^EU$3)</f>
        <v>1.0170032575909294</v>
      </c>
      <c r="EV56" s="110">
        <f>IF(SeilBeregnet=0,EV32,(Lwl*0.7+Loa*0.3)^EV$3)</f>
        <v>1.9111244003334622</v>
      </c>
      <c r="EW56" s="110" t="str">
        <f>IF(SeilBeregnet=0,"-",EW$7*(EY:EY+EW$6)*FB:FB*PropF+ErfaringsF+Dyp_F)</f>
        <v>-</v>
      </c>
      <c r="EX56" s="144" t="str">
        <f t="shared" si="539"/>
        <v>-</v>
      </c>
      <c r="EY56" s="110">
        <f>(EZ:EZ*FA:FA)^EY$3</f>
        <v>3.5506003755505469</v>
      </c>
      <c r="EZ56" s="136">
        <f>IF(SeilBeregnet=0,EZ32,(SeilBeregnet^0.5/(Depl^0.3333))^EZ$3)</f>
        <v>3.4328680180653302</v>
      </c>
      <c r="FA56" s="136">
        <f>IF(SeilBeregnet=0,FA32,((Loa+Lwl)/Bredde/6)^FA$3)</f>
        <v>1.0342956259505622</v>
      </c>
      <c r="FB56" s="110">
        <f>IF(SeilBeregnet=0,FB32,(Lwl*0.07+Loa*0.03)^FB$3)</f>
        <v>1.0747042278871302</v>
      </c>
      <c r="FC56" s="110" t="str">
        <f>IF(SeilBeregnet=0,"-",FC$7*(FE:FE+FC$6)*FI:FI*PropF+ErfaringsF+Dyp_F)</f>
        <v>-</v>
      </c>
      <c r="FD56" s="144" t="str">
        <f t="shared" si="540"/>
        <v>-</v>
      </c>
      <c r="FE56" s="110">
        <f>(FF:FF+FG:FG+FH:FH)^FE$3+FE$7</f>
        <v>5.621427605305902</v>
      </c>
      <c r="FF56" s="136">
        <f>IF(SeilBeregnet=0,FF32,(SeilBeregnet^0.5/(Depl^0.3333))^FF$3)</f>
        <v>3.4328680180653302</v>
      </c>
      <c r="FG56" s="136">
        <f>IF(SeilBeregnet=0,FG32,(SeilBeregnet^0.5/Lwl*FG$7)^FG$3)</f>
        <v>0.82395663056413493</v>
      </c>
      <c r="FH56" s="136">
        <f>IF(SeilBeregnet=0,FH32,((Loa)/Bredde)^FH$3*FH$7)</f>
        <v>1.8646029566764373</v>
      </c>
      <c r="FI56" s="110">
        <f>IF(SeilBeregnet=0,FI32,(Lwl)^FI$3)</f>
        <v>1.8859172433475835</v>
      </c>
      <c r="FJ56" s="110" t="str">
        <f>IF(SeilBeregnet=0,"-",FJ$7*(FL:FL+FJ$6)*FO:FO*PropF+ErfaringsF+Dyp_F)</f>
        <v>-</v>
      </c>
      <c r="FK56" s="144" t="str">
        <f t="shared" si="541"/>
        <v>-</v>
      </c>
      <c r="FL56" s="110">
        <f>(FM:FM*FN:FN)^FL$3</f>
        <v>6.4009358563645957</v>
      </c>
      <c r="FM56" s="136">
        <f>IF(SeilBeregnet=0,FM32,(SeilBeregnet^0.5/(Depl^0.3333))^FM$3)</f>
        <v>3.4328680180653302</v>
      </c>
      <c r="FN56" s="136">
        <f>IF(SeilBeregnet=0,FN32,(Loa/Bredde)^FN$3)</f>
        <v>1.8646029566764373</v>
      </c>
      <c r="FO56" s="110">
        <f>IF(SeilBeregnet=0,FO32,Lwl^FO$3)</f>
        <v>1.8859172433475835</v>
      </c>
      <c r="FQ56" s="374">
        <v>1</v>
      </c>
      <c r="FR56" s="64" t="str">
        <f>IF(SeilBeregnet=0,"-",0.06*2.43^(1/2)*(SeilBeregnet^(1/2)/Depl^(1/3)+(Loa/Bredde)^(1/2)+5*(Dypg/Loa)^(1/2))*Lwl^(1/4)*FQ56)</f>
        <v>-</v>
      </c>
      <c r="FS56" s="480" t="s">
        <v>735</v>
      </c>
      <c r="FT56" s="59" t="s">
        <v>736</v>
      </c>
      <c r="FU56" s="475" t="s">
        <v>737</v>
      </c>
      <c r="FV56" s="542" t="s">
        <v>738</v>
      </c>
      <c r="FW56" s="59" t="s">
        <v>739</v>
      </c>
      <c r="FX56" s="59" t="s">
        <v>740</v>
      </c>
      <c r="FY56" s="59" t="s">
        <v>455</v>
      </c>
      <c r="FZ56" s="59"/>
      <c r="GB56" s="59" t="s">
        <v>522</v>
      </c>
      <c r="GC56" s="475" t="s">
        <v>522</v>
      </c>
      <c r="GD56" s="60" t="s">
        <v>522</v>
      </c>
      <c r="GE56" s="60" t="s">
        <v>522</v>
      </c>
      <c r="GF56" s="60" t="s">
        <v>522</v>
      </c>
      <c r="GG56" s="60" t="s">
        <v>522</v>
      </c>
      <c r="GI56" s="59" t="s">
        <v>741</v>
      </c>
      <c r="GJ56" s="59" t="s">
        <v>742</v>
      </c>
      <c r="GK56" s="59" t="s">
        <v>743</v>
      </c>
      <c r="GL56" s="59" t="s">
        <v>743</v>
      </c>
      <c r="GM56" s="59" t="s">
        <v>744</v>
      </c>
      <c r="GN56" s="59" t="s">
        <v>470</v>
      </c>
      <c r="GO56" s="59" t="s">
        <v>477</v>
      </c>
      <c r="GP56" s="59" t="s">
        <v>522</v>
      </c>
    </row>
    <row r="57" spans="1:198" ht="15.6" x14ac:dyDescent="0.3">
      <c r="A57" s="62" t="s">
        <v>734</v>
      </c>
      <c r="B57" s="223"/>
      <c r="C57" s="63" t="str">
        <f>C56</f>
        <v>Bermuda</v>
      </c>
      <c r="D57" s="63"/>
      <c r="E57" s="63"/>
      <c r="F57" s="63"/>
      <c r="G57" s="56"/>
      <c r="H57" s="209">
        <f>TBFavrundet</f>
        <v>110.00000000000001</v>
      </c>
      <c r="I57" s="65">
        <f>COUNTA(O57:AD57)</f>
        <v>3</v>
      </c>
      <c r="J57" s="228">
        <f>SUM(O57:AD57)</f>
        <v>61</v>
      </c>
      <c r="K57" s="119">
        <f>Seilareal/Depl^0.667/K$7</f>
        <v>1.7267391041729416</v>
      </c>
      <c r="L57" s="119">
        <f>Seilareal/Lwl/Lwl/L$7</f>
        <v>1.1952024218917139</v>
      </c>
      <c r="M57" s="95">
        <f>RiggF</f>
        <v>0.91639344262295075</v>
      </c>
      <c r="N57" s="265">
        <f>StHfaktor</f>
        <v>1.0135447430742779</v>
      </c>
      <c r="O57" s="147"/>
      <c r="P57" s="169">
        <v>27</v>
      </c>
      <c r="Q57" s="147"/>
      <c r="R57" s="147"/>
      <c r="S57" s="147"/>
      <c r="T57" s="169">
        <v>17</v>
      </c>
      <c r="U57" s="148"/>
      <c r="V57" s="148"/>
      <c r="W57" s="148"/>
      <c r="X57" s="148"/>
      <c r="Y57" s="147"/>
      <c r="Z57" s="147"/>
      <c r="AA57" s="147"/>
      <c r="AB57" s="169">
        <v>17</v>
      </c>
      <c r="AC57" s="147"/>
      <c r="AD57" s="148"/>
      <c r="AE57" s="260">
        <f t="shared" ref="AE57" si="605">AE56</f>
        <v>9.8000000000000007</v>
      </c>
      <c r="AF57" s="375">
        <f t="shared" ref="AF57" si="606" xml:space="preserve"> AF56</f>
        <v>0</v>
      </c>
      <c r="AG57" s="377"/>
      <c r="AH57" s="375">
        <f t="shared" ref="AH57" si="607" xml:space="preserve"> AH56</f>
        <v>0</v>
      </c>
      <c r="AI57" s="377"/>
      <c r="AJ57" s="295" t="str">
        <f t="shared" ref="AJ57" si="608" xml:space="preserve"> AJ56</f>
        <v>Meter</v>
      </c>
      <c r="AK57" s="47">
        <f>VLOOKUP(AJ57,Skrogform!$1:$1048576,3,FALSE)</f>
        <v>1</v>
      </c>
      <c r="AL57" s="66">
        <f t="shared" ref="AL57:AV57" si="609">AL56</f>
        <v>9.6999999999999993</v>
      </c>
      <c r="AM57" s="66">
        <f t="shared" si="609"/>
        <v>8.8000000000000007</v>
      </c>
      <c r="AN57" s="66">
        <f t="shared" si="609"/>
        <v>2.7</v>
      </c>
      <c r="AO57" s="66">
        <f t="shared" si="609"/>
        <v>1.4</v>
      </c>
      <c r="AP57" s="66">
        <f t="shared" si="609"/>
        <v>5.8</v>
      </c>
      <c r="AQ57" s="66">
        <f t="shared" si="609"/>
        <v>2.6</v>
      </c>
      <c r="AR57" s="66">
        <f t="shared" si="609"/>
        <v>0.03</v>
      </c>
      <c r="AS57" s="284">
        <f t="shared" si="609"/>
        <v>31</v>
      </c>
      <c r="AT57" s="284">
        <f t="shared" si="609"/>
        <v>150</v>
      </c>
      <c r="AU57" s="284">
        <f t="shared" si="609"/>
        <v>50</v>
      </c>
      <c r="AV57" s="284">
        <f t="shared" si="609"/>
        <v>100</v>
      </c>
      <c r="AW57" s="284"/>
      <c r="AX57" s="284">
        <f>AX56</f>
        <v>0</v>
      </c>
      <c r="AY57" s="68"/>
      <c r="AZ57" s="68"/>
      <c r="BA57" s="289"/>
      <c r="BB57" s="68"/>
      <c r="BC57" s="179"/>
      <c r="BD57" s="68"/>
      <c r="BE57" s="68"/>
      <c r="BF57" s="67" t="str">
        <f t="shared" ref="BF57:BH57" si="610" xml:space="preserve"> BF56</f>
        <v>Seilrett</v>
      </c>
      <c r="BG57" s="295">
        <f t="shared" si="610"/>
        <v>2</v>
      </c>
      <c r="BH57" s="295">
        <f t="shared" si="610"/>
        <v>43</v>
      </c>
      <c r="BI57" s="47">
        <f t="shared" si="464"/>
        <v>1</v>
      </c>
      <c r="BJ57" s="61"/>
      <c r="BK57" s="61"/>
      <c r="BM57" s="51">
        <f t="shared" ref="BM57:BR60" si="611">IF(O57=0,0,O57*BM$9)</f>
        <v>0</v>
      </c>
      <c r="BN57" s="51">
        <f t="shared" si="611"/>
        <v>27</v>
      </c>
      <c r="BO57" s="51">
        <f t="shared" si="611"/>
        <v>0</v>
      </c>
      <c r="BP57" s="51">
        <f t="shared" si="611"/>
        <v>0</v>
      </c>
      <c r="BQ57" s="51">
        <f t="shared" si="611"/>
        <v>0</v>
      </c>
      <c r="BR57" s="51">
        <f t="shared" si="611"/>
        <v>17</v>
      </c>
      <c r="BS57" s="52">
        <f>IF(COUNT(P57:T57)&gt;1,MINA(P57:T57)*BS$9,0)</f>
        <v>-5.0999999999999996</v>
      </c>
      <c r="BT57" s="88">
        <f t="shared" ref="BT57:CC60" si="612">IF(U57=0,0,U57*BT$9)</f>
        <v>0</v>
      </c>
      <c r="BU57" s="88">
        <f t="shared" si="612"/>
        <v>0</v>
      </c>
      <c r="BV57" s="88">
        <f t="shared" si="612"/>
        <v>0</v>
      </c>
      <c r="BW57" s="88">
        <f t="shared" si="612"/>
        <v>0</v>
      </c>
      <c r="BX57" s="88">
        <f t="shared" si="612"/>
        <v>0</v>
      </c>
      <c r="BY57" s="88">
        <f t="shared" si="612"/>
        <v>0</v>
      </c>
      <c r="BZ57" s="88">
        <f t="shared" si="612"/>
        <v>0</v>
      </c>
      <c r="CA57" s="88">
        <f t="shared" si="612"/>
        <v>17</v>
      </c>
      <c r="CB57" s="88">
        <f t="shared" si="612"/>
        <v>0</v>
      </c>
      <c r="CC57" s="88">
        <f t="shared" si="612"/>
        <v>0</v>
      </c>
      <c r="CD57" s="103">
        <f>SUM(BM57:CC57)</f>
        <v>55.9</v>
      </c>
      <c r="CE57" s="52"/>
      <c r="CF57" s="107">
        <f>J57</f>
        <v>61</v>
      </c>
      <c r="CG57" s="104">
        <f>CD57/CF57</f>
        <v>0.91639344262295075</v>
      </c>
      <c r="CH57" s="53">
        <f>Seilareal/Lwl/Lwl</f>
        <v>0.78770661157024791</v>
      </c>
      <c r="CI57" s="119">
        <f>Seilareal/Depl^0.667/K$7</f>
        <v>1.7267391041729416</v>
      </c>
      <c r="CJ57" s="53">
        <f>Seilareal/Lwl/Lwl/SApRS1</f>
        <v>1.1952024218917139</v>
      </c>
      <c r="CK57" s="209"/>
      <c r="CL57" s="209">
        <f>(ROUND(TBF/CL$6,3)*CL$6)*CL$4</f>
        <v>110.00000000000001</v>
      </c>
      <c r="CM57" s="110">
        <f t="shared" si="234"/>
        <v>1.0988579746747553</v>
      </c>
      <c r="CN57" s="64">
        <f>IF(SeilBeregnet=0,"-",(SeilBeregnet)^(1/2)*StHfaktor/(Depl+DeplTillegg/1000+Vann/1000+Diesel/1000*0.84)^(1/3))</f>
        <v>4.1396876351364114</v>
      </c>
      <c r="CO57" s="64">
        <f t="shared" si="203"/>
        <v>1.8509256943286312</v>
      </c>
      <c r="CP57" s="64">
        <f t="shared" si="204"/>
        <v>1.7223470599267343</v>
      </c>
      <c r="CQ57" s="110">
        <f t="shared" si="205"/>
        <v>1.0135447430742779</v>
      </c>
      <c r="CR57" s="172" t="str">
        <f t="shared" si="529"/>
        <v>-</v>
      </c>
      <c r="CS57" s="163">
        <f>CS56</f>
        <v>0</v>
      </c>
      <c r="CT57" s="172" t="str">
        <f t="shared" si="530"/>
        <v>-</v>
      </c>
      <c r="CU57" s="163">
        <f>CU56</f>
        <v>0</v>
      </c>
      <c r="CV57" s="195" t="s">
        <v>145</v>
      </c>
      <c r="CW57" s="64" t="s">
        <v>111</v>
      </c>
      <c r="CX57" s="64" t="s">
        <v>111</v>
      </c>
      <c r="CY57" s="64" t="s">
        <v>111</v>
      </c>
      <c r="CZ57" s="154" t="s">
        <v>111</v>
      </c>
      <c r="DA57" s="64">
        <f t="shared" si="210"/>
        <v>1.8898787736558318</v>
      </c>
      <c r="DB57" s="49">
        <f t="shared" si="206"/>
        <v>11.2</v>
      </c>
      <c r="DC57" s="50">
        <f t="shared" si="531"/>
        <v>0</v>
      </c>
      <c r="DE57" s="110">
        <f>IF(SeilBeregnet=0,"-",DE$7*(DG:DG+DE$6)*DL:DL*PropF+ErfaringsF+Dyp_F)</f>
        <v>1.053651927319349</v>
      </c>
      <c r="DF57" s="144" t="str">
        <f t="shared" si="532"/>
        <v>-</v>
      </c>
      <c r="DG57" s="110">
        <f t="shared" si="533"/>
        <v>6.0569658362788621</v>
      </c>
      <c r="DH57" s="136">
        <f>IF(SeilBeregnet=0,DH56,(SeilBeregnet^0.5/(Depl^0.3333))^DH$3*DH$7)</f>
        <v>4.1615522685864201</v>
      </c>
      <c r="DI57" s="136">
        <f>IF(SeilBeregnet=0,DI56,(SeilBeregnet^0.5/Lwl)^DI$3*DI$7)</f>
        <v>0</v>
      </c>
      <c r="DJ57" s="136">
        <f>IF(SeilBeregnet=0,DJ56,(0.1*Loa/Depl^0.3333)^DJ$3*DJ$7)</f>
        <v>0</v>
      </c>
      <c r="DK57" s="136">
        <f>IF(SeilBeregnet=0,DK56,((Loa)/Bredde)^DK$3*DK$7)</f>
        <v>1.8954135676924422</v>
      </c>
      <c r="DL57" s="110">
        <f>IF(SeilBeregnet=0,DL56,(Lwl)^DL$3)</f>
        <v>1.7223470599267343</v>
      </c>
      <c r="DM57" s="136">
        <f>IF(SeilBeregnet=0,DM56,(Dypg/Loa)^DM$3*5*DM$7)</f>
        <v>1.8995387394523999</v>
      </c>
      <c r="DO57" s="110">
        <f t="shared" si="467"/>
        <v>1.0988579746747551</v>
      </c>
      <c r="DP57" s="110">
        <f t="shared" si="211"/>
        <v>1.0148600620279822</v>
      </c>
      <c r="DR57" s="110">
        <f t="shared" si="212"/>
        <v>1.0176268861679334</v>
      </c>
      <c r="DS57" s="125" t="str">
        <f t="shared" si="534"/>
        <v>-</v>
      </c>
      <c r="DT57" s="110">
        <f t="shared" si="535"/>
        <v>1.0966002511259507</v>
      </c>
      <c r="DU57" s="125" t="str">
        <f t="shared" si="536"/>
        <v>-</v>
      </c>
      <c r="DV57" s="110">
        <f>IF(SeilBeregnet=0,DV56,SeilBeregnet^0.5/Depl^0.33333)</f>
        <v>4.1613328118449378</v>
      </c>
      <c r="DW57" s="110">
        <f>IF(SeilBeregnet=0,DW56,Lwl^0.3333)</f>
        <v>2.0644105728067443</v>
      </c>
      <c r="DX57" s="110">
        <f>IF(SeilBeregnet=0,DX56,((Loa+Lwl)/Bredde)^DX$3)</f>
        <v>1.6179011774099146</v>
      </c>
      <c r="DZ57" s="110">
        <f t="shared" si="537"/>
        <v>1.086594236612747</v>
      </c>
      <c r="EB57" s="110">
        <f>IF(SeilBeregnet=0,EB56,SeilBeregnet^0.5/Depl^0.33333)</f>
        <v>4.1613328118449378</v>
      </c>
      <c r="EC57" s="110">
        <f>IF(SeilBeregnet=0,EC56,Lwl^EC$3)</f>
        <v>2.0645452646139271</v>
      </c>
      <c r="ED57" s="110">
        <f>IF(SeilBeregnet=0,ED56,((Loa+Lwl)/Bredde)^ED$3)</f>
        <v>1.8992178984985733</v>
      </c>
      <c r="EE57" s="110">
        <f t="shared" si="538"/>
        <v>1.0828260934587435</v>
      </c>
      <c r="EG57" s="110">
        <f>IF(SeilBeregnet=0,EG56,(EH57*EI57)^EG$3)</f>
        <v>6.7326252558784354</v>
      </c>
      <c r="EH57" s="110">
        <f>IF(SeilBeregnet=0,EH56,SeilBeregnet^0.5/Depl^0.33333)</f>
        <v>4.1613328118449378</v>
      </c>
      <c r="EI57" s="110">
        <f>IF(SeilBeregnet=0,EI56,((Loa+Lwl)/Bredde)^EI$3)</f>
        <v>1.6179011774099146</v>
      </c>
      <c r="EJ57" s="110">
        <f>IF(SeilBeregnet=0,EJ56,Lwl^EJ$3)</f>
        <v>1.7223470599267343</v>
      </c>
      <c r="EK57" s="110">
        <f>IF(SeilBeregnet=0,"-",EK$7*(EK$4*EM:EM+EK$6)*EP:EP*PropF+ErfaringsF+Dyp_F)</f>
        <v>1.0606012377433633</v>
      </c>
      <c r="EM57" s="110">
        <f>IF(SeilBeregnet=0,EM56,(EN:EN*EO:EO)^EM$3)</f>
        <v>2.0740695457765685</v>
      </c>
      <c r="EN57" s="110">
        <f>IF(SeilBeregnet=0,EN56,SeilBeregnet^0.5/Depl^0.33333)</f>
        <v>4.1613328118449378</v>
      </c>
      <c r="EO57" s="110">
        <f>IF(SeilBeregnet=0,EO56,((Loa+Lwl)/Bredde/6)^EO$3)</f>
        <v>1.03374680065799</v>
      </c>
      <c r="EP57" s="110">
        <f>IF(SeilBeregnet=0,EP56,(Lwl*0.7+Loa*0.3)^EP$3)</f>
        <v>1.7354089054960848</v>
      </c>
      <c r="EQ57" s="110">
        <f>IF(SeilBeregnet=0,"-",EQ$7*(ES:ES+EQ$6)*EV:EV*PropF+ErfaringsF+Dyp_F)</f>
        <v>0.98495083008999129</v>
      </c>
      <c r="ES57" s="110">
        <f>(ET:ET*EU:EU)^ES$3</f>
        <v>2.0741242352911775</v>
      </c>
      <c r="ET57" s="110">
        <f>IF(SeilBeregnet=0,ET56,SeilBeregnet^0.5/Depl^0.3333)</f>
        <v>4.1615522685864201</v>
      </c>
      <c r="EU57" s="110">
        <f>IF(SeilBeregnet=0,EU56,((Loa+Lwl)/Bredde/6)^EU$3)</f>
        <v>1.03374680065799</v>
      </c>
      <c r="EV57" s="110">
        <f>IF(SeilBeregnet=0,EV56,(Lwl*0.7+Loa*0.3)^EV$3)</f>
        <v>1.7354089054960848</v>
      </c>
      <c r="EW57" s="110">
        <f>IF(SeilBeregnet=0,"-",EW$7*(EY:EY+EW$6)*FB:FB*PropF+ErfaringsF+Dyp_F)</f>
        <v>1.0758879409443194</v>
      </c>
      <c r="EX57" s="144" t="str">
        <f t="shared" si="539"/>
        <v>-</v>
      </c>
      <c r="EY57" s="110">
        <f>(EZ:EZ*FA:FA)^EY$3</f>
        <v>4.4471697877210801</v>
      </c>
      <c r="EZ57" s="136">
        <f>IF(SeilBeregnet=0,EZ56,(SeilBeregnet^0.5/(Depl^0.3333))^EZ$3)</f>
        <v>4.1615522685864201</v>
      </c>
      <c r="FA57" s="136">
        <f>IF(SeilBeregnet=0,FA56,((Loa+Lwl)/Bredde/6)^FA$3)</f>
        <v>1.0686324478706302</v>
      </c>
      <c r="FB57" s="110">
        <f>IF(SeilBeregnet=0,FB56,(Lwl*0.07+Loa*0.03)^FB$3)</f>
        <v>0.97589214366380161</v>
      </c>
      <c r="FC57" s="110">
        <f>IF(SeilBeregnet=0,"-",FC$7*(FE:FE+FC$6)*FI:FI*PropF+ErfaringsF+Dyp_F)</f>
        <v>1.0592984871199016</v>
      </c>
      <c r="FD57" s="144" t="str">
        <f t="shared" si="540"/>
        <v>-</v>
      </c>
      <c r="FE57" s="110">
        <f>(FF:FF+FG:FG+FH:FH)^FE$3+FE$7</f>
        <v>6.4065829109388046</v>
      </c>
      <c r="FF57" s="136">
        <f>IF(SeilBeregnet=0,FF56,(SeilBeregnet^0.5/(Depl^0.3333))^FF$3)</f>
        <v>4.1615522685864201</v>
      </c>
      <c r="FG57" s="136">
        <f>IF(SeilBeregnet=0,FG56,(SeilBeregnet^0.5/Lwl*FG$7)^FG$3)</f>
        <v>0.84961707465994274</v>
      </c>
      <c r="FH57" s="136">
        <f>IF(SeilBeregnet=0,FH56,((Loa)/Bredde)^FH$3*FH$7)</f>
        <v>1.8954135676924422</v>
      </c>
      <c r="FI57" s="110">
        <f>IF(SeilBeregnet=0,FI56,(Lwl)^FI$3)</f>
        <v>1.7223470599267343</v>
      </c>
      <c r="FJ57" s="110">
        <f>IF(SeilBeregnet=0,"-",FJ$7*(FL:FL+FJ$6)*FO:FO*PropF+ErfaringsF+Dyp_F)</f>
        <v>1.064701313206341</v>
      </c>
      <c r="FK57" s="144" t="str">
        <f t="shared" si="541"/>
        <v>-</v>
      </c>
      <c r="FL57" s="110">
        <f>(FM:FM*FN:FN)^FL$3</f>
        <v>7.8878626325399628</v>
      </c>
      <c r="FM57" s="136">
        <f>IF(SeilBeregnet=0,FM56,(SeilBeregnet^0.5/(Depl^0.3333))^FM$3)</f>
        <v>4.1615522685864201</v>
      </c>
      <c r="FN57" s="136">
        <f>IF(SeilBeregnet=0,FN56,(Loa/Bredde)^FN$3)</f>
        <v>1.8954135676924422</v>
      </c>
      <c r="FO57" s="110">
        <f>IF(SeilBeregnet=0,FO56,Lwl^FO$3)</f>
        <v>1.7223470599267343</v>
      </c>
      <c r="FQ57" s="374">
        <v>1</v>
      </c>
      <c r="FR57" s="64">
        <f>IF(SeilBeregnet=0,"-",0.06*2.43^(1/2)*(SeilBeregnet^(1/2)/Depl^(1/3)+(Loa/Bredde)^(1/2)+5*(Dypg/Loa)^(1/2))*Lwl^(1/4)*FQ57)</f>
        <v>1.2816931470095618</v>
      </c>
      <c r="FS57" s="479"/>
      <c r="FT57" s="18"/>
      <c r="FU57" s="481"/>
      <c r="FV57" s="504"/>
      <c r="FW57" s="18"/>
      <c r="FX57" s="18"/>
      <c r="FY57" s="18"/>
      <c r="FZ57" s="18"/>
      <c r="GB57" s="18"/>
      <c r="GC57" s="481"/>
      <c r="GD57" s="8"/>
      <c r="GE57" s="8"/>
      <c r="GF57" s="8"/>
      <c r="GG57" s="8"/>
      <c r="GI57" s="18"/>
      <c r="GJ57" s="18"/>
      <c r="GK57" s="18"/>
      <c r="GL57" s="18"/>
      <c r="GM57" s="18"/>
      <c r="GN57" s="18"/>
      <c r="GO57" s="18"/>
      <c r="GP57" s="18"/>
    </row>
    <row r="58" spans="1:198" ht="15.6" x14ac:dyDescent="0.3">
      <c r="A58" s="62" t="s">
        <v>71</v>
      </c>
      <c r="B58" s="223"/>
      <c r="C58" s="63" t="str">
        <f t="shared" ref="C58:C59" si="613">C56</f>
        <v>Bermuda</v>
      </c>
      <c r="D58" s="63"/>
      <c r="E58" s="63"/>
      <c r="F58" s="63"/>
      <c r="G58" s="56"/>
      <c r="H58" s="209">
        <f>TBFavrundet</f>
        <v>101.50000000000001</v>
      </c>
      <c r="I58" s="65">
        <f>COUNTA(O58:AD58)</f>
        <v>2</v>
      </c>
      <c r="J58" s="228">
        <f>SUM(O58:AD58)</f>
        <v>44</v>
      </c>
      <c r="K58" s="119">
        <f>Seilareal/Depl^0.667/K$7</f>
        <v>1.2455167308788431</v>
      </c>
      <c r="L58" s="119">
        <f>Seilareal/Lwl/Lwl/L$7</f>
        <v>0.86211322234812149</v>
      </c>
      <c r="M58" s="95">
        <f>RiggF</f>
        <v>1</v>
      </c>
      <c r="N58" s="265">
        <f>StHfaktor</f>
        <v>1.0135447430742779</v>
      </c>
      <c r="O58" s="147"/>
      <c r="P58" s="169">
        <v>27</v>
      </c>
      <c r="Q58" s="147"/>
      <c r="R58" s="147"/>
      <c r="S58" s="147"/>
      <c r="T58" s="147"/>
      <c r="U58" s="148"/>
      <c r="V58" s="148"/>
      <c r="W58" s="148"/>
      <c r="X58" s="148"/>
      <c r="Y58" s="147"/>
      <c r="Z58" s="147"/>
      <c r="AA58" s="147"/>
      <c r="AB58" s="169">
        <v>17</v>
      </c>
      <c r="AC58" s="147"/>
      <c r="AD58" s="148"/>
      <c r="AE58" s="260">
        <f t="shared" ref="AE58:AE59" si="614">AE56</f>
        <v>9.8000000000000007</v>
      </c>
      <c r="AF58" s="375">
        <f t="shared" ref="AF58:AF59" si="615" xml:space="preserve"> AF56</f>
        <v>0</v>
      </c>
      <c r="AG58" s="377"/>
      <c r="AH58" s="375">
        <f t="shared" ref="AH58:AH59" si="616" xml:space="preserve"> AH56</f>
        <v>0</v>
      </c>
      <c r="AI58" s="377"/>
      <c r="AJ58" s="295" t="str">
        <f xml:space="preserve"> AJ56</f>
        <v>Meter</v>
      </c>
      <c r="AK58" s="47">
        <f>VLOOKUP(AJ58,Skrogform!$1:$1048576,3,FALSE)</f>
        <v>1</v>
      </c>
      <c r="AL58" s="66">
        <f t="shared" ref="AL58:AV59" si="617">AL56</f>
        <v>9.6999999999999993</v>
      </c>
      <c r="AM58" s="66">
        <f t="shared" si="617"/>
        <v>8.8000000000000007</v>
      </c>
      <c r="AN58" s="66">
        <f t="shared" si="617"/>
        <v>2.7</v>
      </c>
      <c r="AO58" s="66">
        <f t="shared" si="617"/>
        <v>1.4</v>
      </c>
      <c r="AP58" s="66">
        <f t="shared" si="617"/>
        <v>5.8</v>
      </c>
      <c r="AQ58" s="66">
        <f t="shared" si="617"/>
        <v>2.6</v>
      </c>
      <c r="AR58" s="66">
        <f t="shared" si="617"/>
        <v>0.03</v>
      </c>
      <c r="AS58" s="284">
        <f t="shared" si="617"/>
        <v>31</v>
      </c>
      <c r="AT58" s="284">
        <f t="shared" si="617"/>
        <v>150</v>
      </c>
      <c r="AU58" s="284">
        <f t="shared" si="617"/>
        <v>50</v>
      </c>
      <c r="AV58" s="284">
        <f t="shared" si="617"/>
        <v>100</v>
      </c>
      <c r="AW58" s="284"/>
      <c r="AX58" s="284">
        <f>AX56</f>
        <v>0</v>
      </c>
      <c r="AY58" s="68"/>
      <c r="AZ58" s="68"/>
      <c r="BA58" s="289"/>
      <c r="BB58" s="68"/>
      <c r="BC58" s="179"/>
      <c r="BD58" s="68"/>
      <c r="BE58" s="68"/>
      <c r="BF58" s="67" t="str">
        <f t="shared" ref="BF58:BH59" si="618" xml:space="preserve"> BF56</f>
        <v>Seilrett</v>
      </c>
      <c r="BG58" s="295">
        <f t="shared" si="618"/>
        <v>2</v>
      </c>
      <c r="BH58" s="295">
        <f t="shared" si="618"/>
        <v>43</v>
      </c>
      <c r="BI58" s="47">
        <f t="shared" si="464"/>
        <v>1</v>
      </c>
      <c r="BJ58" s="61"/>
      <c r="BK58" s="61"/>
      <c r="BM58" s="51">
        <f t="shared" si="611"/>
        <v>0</v>
      </c>
      <c r="BN58" s="51">
        <f t="shared" si="611"/>
        <v>27</v>
      </c>
      <c r="BO58" s="51">
        <f t="shared" si="611"/>
        <v>0</v>
      </c>
      <c r="BP58" s="51">
        <f t="shared" si="611"/>
        <v>0</v>
      </c>
      <c r="BQ58" s="51">
        <f t="shared" si="611"/>
        <v>0</v>
      </c>
      <c r="BR58" s="51">
        <f t="shared" si="611"/>
        <v>0</v>
      </c>
      <c r="BS58" s="52">
        <f>IF(COUNT(P58:T58)&gt;1,MINA(P58:T58)*BS$9,0)</f>
        <v>0</v>
      </c>
      <c r="BT58" s="88">
        <f t="shared" si="612"/>
        <v>0</v>
      </c>
      <c r="BU58" s="88">
        <f t="shared" si="612"/>
        <v>0</v>
      </c>
      <c r="BV58" s="88">
        <f t="shared" si="612"/>
        <v>0</v>
      </c>
      <c r="BW58" s="88">
        <f t="shared" si="612"/>
        <v>0</v>
      </c>
      <c r="BX58" s="88">
        <f t="shared" si="612"/>
        <v>0</v>
      </c>
      <c r="BY58" s="88">
        <f t="shared" si="612"/>
        <v>0</v>
      </c>
      <c r="BZ58" s="88">
        <f t="shared" si="612"/>
        <v>0</v>
      </c>
      <c r="CA58" s="88">
        <f t="shared" si="612"/>
        <v>17</v>
      </c>
      <c r="CB58" s="88">
        <f t="shared" si="612"/>
        <v>0</v>
      </c>
      <c r="CC58" s="88">
        <f t="shared" si="612"/>
        <v>0</v>
      </c>
      <c r="CD58" s="103">
        <f>SUM(BM58:CC58)</f>
        <v>44</v>
      </c>
      <c r="CE58" s="52"/>
      <c r="CF58" s="107">
        <f>J58</f>
        <v>44</v>
      </c>
      <c r="CG58" s="104">
        <f>CD58/CF58</f>
        <v>1</v>
      </c>
      <c r="CH58" s="53">
        <f>Seilareal/Lwl/Lwl</f>
        <v>0.56818181818181812</v>
      </c>
      <c r="CI58" s="119">
        <f>Seilareal/Depl^0.667/K$7</f>
        <v>1.2455167308788431</v>
      </c>
      <c r="CJ58" s="53">
        <f>Seilareal/Lwl/Lwl/SApRS1</f>
        <v>0.86211322234812149</v>
      </c>
      <c r="CK58" s="209"/>
      <c r="CL58" s="209">
        <f>(ROUND(TBF/CL$6,3)*CL$6)*CL$4</f>
        <v>101.50000000000001</v>
      </c>
      <c r="CM58" s="110">
        <f t="shared" si="234"/>
        <v>1.0132024084766316</v>
      </c>
      <c r="CN58" s="64">
        <f>IF(SeilBeregnet=0,"-",(SeilBeregnet)^(1/2)*StHfaktor/(Depl+DeplTillegg/1000+Vann/1000+Diesel/1000*0.84)^(1/3))</f>
        <v>3.6727215772514223</v>
      </c>
      <c r="CO58" s="64">
        <f t="shared" si="203"/>
        <v>1.8509256943286312</v>
      </c>
      <c r="CP58" s="64">
        <f t="shared" si="204"/>
        <v>1.7223470599267343</v>
      </c>
      <c r="CQ58" s="110">
        <f t="shared" si="205"/>
        <v>1.0135447430742779</v>
      </c>
      <c r="CR58" s="172" t="str">
        <f t="shared" ref="CR58" si="619">IF(CS58=0,"-",IF(CH58="TBF","-",CR$7*CS58))</f>
        <v>-</v>
      </c>
      <c r="CS58" s="162"/>
      <c r="CT58" s="172" t="str">
        <f t="shared" ref="CT58" si="620">IF(CU58=0,"-",IF(CL58="TBF","-",CT$7*CU58))</f>
        <v>-</v>
      </c>
      <c r="CU58" s="164"/>
      <c r="CV58" s="195" t="s">
        <v>145</v>
      </c>
      <c r="CW58" s="64" t="s">
        <v>111</v>
      </c>
      <c r="CX58" s="64" t="s">
        <v>111</v>
      </c>
      <c r="CY58" s="64" t="s">
        <v>111</v>
      </c>
      <c r="CZ58" s="154" t="s">
        <v>111</v>
      </c>
      <c r="DA58" s="64">
        <f t="shared" si="210"/>
        <v>1.8898787736558318</v>
      </c>
      <c r="DB58" s="49">
        <f t="shared" si="206"/>
        <v>11.2</v>
      </c>
      <c r="DC58" s="50">
        <f t="shared" ref="DC58" si="621">DB$7*IF(DB58&lt;DB$5,-0.04,IF(DB58&lt;DB$5*1.1,-0.03,IF(DB58&lt;DB$5*1.2,-0.02,IF(DB58&lt;DB$5*1.3,-0.01,0))))</f>
        <v>0</v>
      </c>
      <c r="DE58" s="110">
        <f>IF(SeilBeregnet=0,"-",DE$7*(DG:DG+DE$6)*DL:DL*PropF+ErfaringsF+Dyp_F)</f>
        <v>0.97199084386381474</v>
      </c>
      <c r="DF58" s="144" t="str">
        <f t="shared" ref="DF58" si="622">IF($DQ58=0,"-",(DE58-$DO58)*100)</f>
        <v>-</v>
      </c>
      <c r="DG58" s="110">
        <f t="shared" ref="DG58" si="623">SUM(DH58:DK58)^DG$3+DG$7</f>
        <v>5.5875333986596649</v>
      </c>
      <c r="DH58" s="136">
        <f>IF(SeilBeregnet=0,DH56,(SeilBeregnet^0.5/(Depl^0.3333))^DH$3*DH$7)</f>
        <v>3.692119830967223</v>
      </c>
      <c r="DI58" s="136">
        <f>IF(SeilBeregnet=0,DI56,(SeilBeregnet^0.5/Lwl)^DI$3*DI$7)</f>
        <v>0</v>
      </c>
      <c r="DJ58" s="136">
        <f>IF(SeilBeregnet=0,DJ56,(0.1*Loa/Depl^0.3333)^DJ$3*DJ$7)</f>
        <v>0</v>
      </c>
      <c r="DK58" s="136">
        <f>IF(SeilBeregnet=0,DK56,((Loa)/Bredde)^DK$3*DK$7)</f>
        <v>1.8954135676924422</v>
      </c>
      <c r="DL58" s="110">
        <f>IF(SeilBeregnet=0,DL56,(Lwl)^DL$3)</f>
        <v>1.7223470599267343</v>
      </c>
      <c r="DM58" s="136">
        <f>IF(SeilBeregnet=0,DM56,(Dypg/Loa)^DM$3*5*DM$7)</f>
        <v>1.8995387394523999</v>
      </c>
      <c r="DO58" s="110">
        <f t="shared" si="467"/>
        <v>1.0132024084766318</v>
      </c>
      <c r="DP58" s="110">
        <f t="shared" si="211"/>
        <v>0.92263876865978167</v>
      </c>
      <c r="DR58" s="110">
        <f t="shared" si="212"/>
        <v>0.94072962571171481</v>
      </c>
      <c r="DS58" s="125" t="str">
        <f t="shared" ref="DS58" si="624">IF($DQ58=0,"-",DR58-$DO58)</f>
        <v>-</v>
      </c>
      <c r="DT58" s="110">
        <f t="shared" ref="DT58" si="625">IF(SeilBeregnet=0,"-",DT$7*(DT$4*DV58*DW58*DX58*PropF+DT$6)+ErfaringsF+Dyp_F)</f>
        <v>0.99834952201866745</v>
      </c>
      <c r="DU58" s="125" t="str">
        <f t="shared" ref="DU58" si="626">IF($DQ58=0,"-",DT58-$DO58)</f>
        <v>-</v>
      </c>
      <c r="DV58" s="110">
        <f>IF(SeilBeregnet=0,DV56,SeilBeregnet^0.5/Depl^0.33333)</f>
        <v>3.6919251294388098</v>
      </c>
      <c r="DW58" s="110">
        <f>IF(SeilBeregnet=0,DW56,Lwl^0.3333)</f>
        <v>2.0644105728067443</v>
      </c>
      <c r="DX58" s="110">
        <f>IF(SeilBeregnet=0,DX56,((Loa+Lwl)/Bredde)^DX$3)</f>
        <v>1.6179011774099146</v>
      </c>
      <c r="DZ58" s="110">
        <f t="shared" ref="DZ58" si="627">IF(SeilBeregnet=0,"-",DZ$7*(DZ$4*EB58*EC58*ED58*PropF+DZ$6)+ErfaringsF+Dyp_F)</f>
        <v>0.99697787423994944</v>
      </c>
      <c r="EB58" s="110">
        <f>IF(SeilBeregnet=0,EB56,SeilBeregnet^0.5/Depl^0.33333)</f>
        <v>3.6919251294388098</v>
      </c>
      <c r="EC58" s="110">
        <f>IF(SeilBeregnet=0,EC56,Lwl^EC$3)</f>
        <v>2.0645452646139271</v>
      </c>
      <c r="ED58" s="110">
        <f>IF(SeilBeregnet=0,ED56,((Loa+Lwl)/Bredde)^ED$3)</f>
        <v>1.8992178984985733</v>
      </c>
      <c r="EE58" s="110">
        <f t="shared" ref="EE58" si="628">IF(SeilBeregnet=0,"-",EE$7*(EE$4*EG58+EE$6)*EJ58*PropF+ErfaringsF+Dyp_F)</f>
        <v>0.98865533394374738</v>
      </c>
      <c r="EG58" s="110">
        <f>IF(SeilBeregnet=0,EG56,(EH58*EI58)^EG$3)</f>
        <v>5.9731700138283017</v>
      </c>
      <c r="EH58" s="110">
        <f>IF(SeilBeregnet=0,EH56,SeilBeregnet^0.5/Depl^0.33333)</f>
        <v>3.6919251294388098</v>
      </c>
      <c r="EI58" s="110">
        <f>IF(SeilBeregnet=0,EI56,((Loa+Lwl)/Bredde)^EI$3)</f>
        <v>1.6179011774099146</v>
      </c>
      <c r="EJ58" s="110">
        <f>IF(SeilBeregnet=0,EJ56,Lwl^EJ$3)</f>
        <v>1.7223470599267343</v>
      </c>
      <c r="EK58" s="110">
        <f>IF(SeilBeregnet=0,"-",EK$7*(EK$4*EM:EM+EK$6)*EP:EP*PropF+ErfaringsF+Dyp_F)</f>
        <v>0.97942297009780444</v>
      </c>
      <c r="EM58" s="110">
        <f>IF(SeilBeregnet=0,EM56,(EN:EN*EO:EO)^EM$3)</f>
        <v>1.9535904869819072</v>
      </c>
      <c r="EN58" s="110">
        <f>IF(SeilBeregnet=0,EN56,SeilBeregnet^0.5/Depl^0.33333)</f>
        <v>3.6919251294388098</v>
      </c>
      <c r="EO58" s="110">
        <f>IF(SeilBeregnet=0,EO56,((Loa+Lwl)/Bredde/6)^EO$3)</f>
        <v>1.03374680065799</v>
      </c>
      <c r="EP58" s="110">
        <f>IF(SeilBeregnet=0,EP56,(Lwl*0.7+Loa*0.3)^EP$3)</f>
        <v>1.7354089054960848</v>
      </c>
      <c r="EQ58" s="110">
        <f>IF(SeilBeregnet=0,"-",EQ$7*(ES:ES+EQ$6)*EV:EV*PropF+ErfaringsF+Dyp_F)</f>
        <v>0.92773676549418127</v>
      </c>
      <c r="ES58" s="110">
        <f>(ET:ET*EU:EU)^ES$3</f>
        <v>1.9536419996786221</v>
      </c>
      <c r="ET58" s="110">
        <f>IF(SeilBeregnet=0,ET56,SeilBeregnet^0.5/Depl^0.3333)</f>
        <v>3.692119830967223</v>
      </c>
      <c r="EU58" s="110">
        <f>IF(SeilBeregnet=0,EU56,((Loa+Lwl)/Bredde/6)^EU$3)</f>
        <v>1.03374680065799</v>
      </c>
      <c r="EV58" s="110">
        <f>IF(SeilBeregnet=0,EV56,(Lwl*0.7+Loa*0.3)^EV$3)</f>
        <v>1.7354089054960848</v>
      </c>
      <c r="EW58" s="110">
        <f>IF(SeilBeregnet=0,"-",EW$7*(EY:EY+EW$6)*FB:FB*PropF+ErfaringsF+Dyp_F)</f>
        <v>0.99217369205059525</v>
      </c>
      <c r="EX58" s="144" t="str">
        <f t="shared" ref="EX58" si="629">IF($DQ58=0,"-",(EW58-$DO58)*100)</f>
        <v>-</v>
      </c>
      <c r="EY58" s="110">
        <f>(EZ:EZ*FA:FA)^EY$3</f>
        <v>3.9455190527982009</v>
      </c>
      <c r="EZ58" s="136">
        <f>IF(SeilBeregnet=0,EZ56,(SeilBeregnet^0.5/(Depl^0.3333))^EZ$3)</f>
        <v>3.692119830967223</v>
      </c>
      <c r="FA58" s="136">
        <f>IF(SeilBeregnet=0,FA56,((Loa+Lwl)/Bredde/6)^FA$3)</f>
        <v>1.0686324478706302</v>
      </c>
      <c r="FB58" s="110">
        <f>IF(SeilBeregnet=0,FB56,(Lwl*0.07+Loa*0.03)^FB$3)</f>
        <v>0.97589214366380161</v>
      </c>
      <c r="FC58" s="110">
        <f>IF(SeilBeregnet=0,"-",FC$7*(FE:FE+FC$6)*FI:FI*PropF+ErfaringsF+Dyp_F)</f>
        <v>0.96583354906854813</v>
      </c>
      <c r="FD58" s="144" t="str">
        <f t="shared" ref="FD58" si="630">IF($DQ58=0,"-",(FC58-$DO58)*100)</f>
        <v>-</v>
      </c>
      <c r="FE58" s="110">
        <f>(FF:FF+FG:FG+FH:FH)^FE$3+FE$7</f>
        <v>5.841311760104074</v>
      </c>
      <c r="FF58" s="136">
        <f>IF(SeilBeregnet=0,FF56,(SeilBeregnet^0.5/(Depl^0.3333))^FF$3)</f>
        <v>3.692119830967223</v>
      </c>
      <c r="FG58" s="136">
        <f>IF(SeilBeregnet=0,FG56,(SeilBeregnet^0.5/Lwl*FG$7)^FG$3)</f>
        <v>0.75377836144440902</v>
      </c>
      <c r="FH58" s="136">
        <f>IF(SeilBeregnet=0,FH56,((Loa)/Bredde)^FH$3*FH$7)</f>
        <v>1.8954135676924422</v>
      </c>
      <c r="FI58" s="110">
        <f>IF(SeilBeregnet=0,FI56,(Lwl)^FI$3)</f>
        <v>1.7223470599267343</v>
      </c>
      <c r="FJ58" s="110">
        <f>IF(SeilBeregnet=0,"-",FJ$7*(FL:FL+FJ$6)*FO:FO*PropF+ErfaringsF+Dyp_F)</f>
        <v>0.98501181491156475</v>
      </c>
      <c r="FK58" s="144" t="str">
        <f t="shared" ref="FK58" si="631">IF($DQ58=0,"-",(FJ58-$DO58)*100)</f>
        <v>-</v>
      </c>
      <c r="FL58" s="110">
        <f>(FM:FM*FN:FN)^FL$3</f>
        <v>6.9980940211616005</v>
      </c>
      <c r="FM58" s="136">
        <f>IF(SeilBeregnet=0,FM56,(SeilBeregnet^0.5/(Depl^0.3333))^FM$3)</f>
        <v>3.692119830967223</v>
      </c>
      <c r="FN58" s="136">
        <f>IF(SeilBeregnet=0,FN56,(Loa/Bredde)^FN$3)</f>
        <v>1.8954135676924422</v>
      </c>
      <c r="FO58" s="110">
        <f>IF(SeilBeregnet=0,FO56,Lwl^FO$3)</f>
        <v>1.7223470599267343</v>
      </c>
      <c r="FQ58" s="374">
        <v>1</v>
      </c>
      <c r="FR58" s="64">
        <f>IF(SeilBeregnet=0,"-",0.06*2.43^(1/2)*(SeilBeregnet^(1/2)/Depl^(1/3)+(Loa/Bredde)^(1/2)+5*(Dypg/Loa)^(1/2))*Lwl^(1/4)*FQ58)</f>
        <v>1.2060755793619009</v>
      </c>
      <c r="FS58" s="479"/>
      <c r="FT58" s="18"/>
      <c r="FU58" s="481"/>
      <c r="FV58" s="504"/>
      <c r="FW58" s="18"/>
      <c r="FX58" s="18"/>
      <c r="FY58" s="18"/>
      <c r="FZ58" s="18"/>
      <c r="GB58" s="18"/>
      <c r="GC58" s="481"/>
      <c r="GD58" s="8"/>
      <c r="GE58" s="8"/>
      <c r="GF58" s="8"/>
      <c r="GG58" s="8"/>
      <c r="GI58" s="18"/>
      <c r="GJ58" s="18"/>
      <c r="GK58" s="18"/>
      <c r="GL58" s="18"/>
      <c r="GM58" s="18"/>
      <c r="GN58" s="18"/>
      <c r="GO58" s="18"/>
      <c r="GP58" s="18"/>
    </row>
    <row r="59" spans="1:198" ht="15.6" x14ac:dyDescent="0.3">
      <c r="A59" s="62" t="s">
        <v>32</v>
      </c>
      <c r="B59" s="223"/>
      <c r="C59" s="63" t="str">
        <f t="shared" si="613"/>
        <v>Bermuda</v>
      </c>
      <c r="D59" s="63"/>
      <c r="E59" s="63"/>
      <c r="F59" s="63"/>
      <c r="G59" s="56"/>
      <c r="H59" s="209">
        <f>TBFavrundet</f>
        <v>99</v>
      </c>
      <c r="I59" s="65">
        <f>COUNTA(O59:AD59)</f>
        <v>3</v>
      </c>
      <c r="J59" s="228">
        <f>SUM(O59:AD59)</f>
        <v>44</v>
      </c>
      <c r="K59" s="119">
        <f>Seilareal/Depl^0.667/K$7</f>
        <v>1.2455167308788431</v>
      </c>
      <c r="L59" s="119">
        <f>Seilareal/Lwl/Lwl/L$7</f>
        <v>0.86211322234812149</v>
      </c>
      <c r="M59" s="95">
        <f>RiggF</f>
        <v>0.93181818181818177</v>
      </c>
      <c r="N59" s="265">
        <f>StHfaktor</f>
        <v>1.0135447430742779</v>
      </c>
      <c r="O59" s="147"/>
      <c r="P59" s="147"/>
      <c r="Q59" s="169">
        <v>10</v>
      </c>
      <c r="R59" s="147"/>
      <c r="S59" s="147"/>
      <c r="T59" s="169">
        <v>17</v>
      </c>
      <c r="U59" s="148"/>
      <c r="V59" s="148"/>
      <c r="W59" s="148"/>
      <c r="X59" s="148"/>
      <c r="Y59" s="147"/>
      <c r="Z59" s="147"/>
      <c r="AA59" s="147"/>
      <c r="AB59" s="169">
        <v>17</v>
      </c>
      <c r="AC59" s="147"/>
      <c r="AD59" s="148"/>
      <c r="AE59" s="260">
        <f t="shared" si="614"/>
        <v>9.8000000000000007</v>
      </c>
      <c r="AF59" s="375">
        <f t="shared" si="615"/>
        <v>0</v>
      </c>
      <c r="AG59" s="377"/>
      <c r="AH59" s="375">
        <f t="shared" si="616"/>
        <v>0</v>
      </c>
      <c r="AI59" s="377"/>
      <c r="AJ59" s="295" t="str">
        <f xml:space="preserve"> AJ57</f>
        <v>Meter</v>
      </c>
      <c r="AK59" s="47">
        <f>VLOOKUP(AJ59,Skrogform!$1:$1048576,3,FALSE)</f>
        <v>1</v>
      </c>
      <c r="AL59" s="66">
        <f t="shared" si="617"/>
        <v>9.6999999999999993</v>
      </c>
      <c r="AM59" s="66">
        <f t="shared" si="617"/>
        <v>8.8000000000000007</v>
      </c>
      <c r="AN59" s="66">
        <f t="shared" si="617"/>
        <v>2.7</v>
      </c>
      <c r="AO59" s="66">
        <f t="shared" si="617"/>
        <v>1.4</v>
      </c>
      <c r="AP59" s="66">
        <f t="shared" si="617"/>
        <v>5.8</v>
      </c>
      <c r="AQ59" s="66">
        <f t="shared" si="617"/>
        <v>2.6</v>
      </c>
      <c r="AR59" s="66">
        <f t="shared" si="617"/>
        <v>0.03</v>
      </c>
      <c r="AS59" s="284">
        <f t="shared" si="617"/>
        <v>31</v>
      </c>
      <c r="AT59" s="284">
        <f t="shared" si="617"/>
        <v>150</v>
      </c>
      <c r="AU59" s="284">
        <f t="shared" si="617"/>
        <v>50</v>
      </c>
      <c r="AV59" s="284">
        <f t="shared" si="617"/>
        <v>100</v>
      </c>
      <c r="AW59" s="284"/>
      <c r="AX59" s="284">
        <f>AX57</f>
        <v>0</v>
      </c>
      <c r="AY59" s="68"/>
      <c r="AZ59" s="68"/>
      <c r="BA59" s="289"/>
      <c r="BB59" s="68"/>
      <c r="BC59" s="179"/>
      <c r="BD59" s="68"/>
      <c r="BE59" s="68"/>
      <c r="BF59" s="67" t="str">
        <f t="shared" si="618"/>
        <v>Seilrett</v>
      </c>
      <c r="BG59" s="295">
        <f t="shared" si="618"/>
        <v>2</v>
      </c>
      <c r="BH59" s="295">
        <f t="shared" si="618"/>
        <v>43</v>
      </c>
      <c r="BI59" s="47">
        <f t="shared" si="464"/>
        <v>1</v>
      </c>
      <c r="BJ59" s="61"/>
      <c r="BK59" s="61"/>
      <c r="BM59" s="51">
        <f t="shared" si="611"/>
        <v>0</v>
      </c>
      <c r="BN59" s="51">
        <f t="shared" si="611"/>
        <v>0</v>
      </c>
      <c r="BO59" s="51">
        <f t="shared" si="611"/>
        <v>10</v>
      </c>
      <c r="BP59" s="51">
        <f t="shared" si="611"/>
        <v>0</v>
      </c>
      <c r="BQ59" s="51">
        <f t="shared" si="611"/>
        <v>0</v>
      </c>
      <c r="BR59" s="51">
        <f t="shared" si="611"/>
        <v>17</v>
      </c>
      <c r="BS59" s="52">
        <f>IF(COUNT(P59:T59)&gt;1,MINA(P59:T59)*BS$9,0)</f>
        <v>-3</v>
      </c>
      <c r="BT59" s="88">
        <f t="shared" si="612"/>
        <v>0</v>
      </c>
      <c r="BU59" s="88">
        <f t="shared" si="612"/>
        <v>0</v>
      </c>
      <c r="BV59" s="88">
        <f t="shared" si="612"/>
        <v>0</v>
      </c>
      <c r="BW59" s="88">
        <f t="shared" si="612"/>
        <v>0</v>
      </c>
      <c r="BX59" s="88">
        <f t="shared" si="612"/>
        <v>0</v>
      </c>
      <c r="BY59" s="88">
        <f t="shared" si="612"/>
        <v>0</v>
      </c>
      <c r="BZ59" s="88">
        <f t="shared" si="612"/>
        <v>0</v>
      </c>
      <c r="CA59" s="88">
        <f t="shared" si="612"/>
        <v>17</v>
      </c>
      <c r="CB59" s="88">
        <f t="shared" si="612"/>
        <v>0</v>
      </c>
      <c r="CC59" s="88">
        <f t="shared" si="612"/>
        <v>0</v>
      </c>
      <c r="CD59" s="103">
        <f>SUM(BM59:CC59)</f>
        <v>41</v>
      </c>
      <c r="CE59" s="52"/>
      <c r="CF59" s="107">
        <f>J59</f>
        <v>44</v>
      </c>
      <c r="CG59" s="104">
        <f>CD59/CF59</f>
        <v>0.93181818181818177</v>
      </c>
      <c r="CH59" s="53">
        <f>Seilareal/Lwl/Lwl</f>
        <v>0.56818181818181812</v>
      </c>
      <c r="CI59" s="119">
        <f>Seilareal/Depl^0.667/K$7</f>
        <v>1.2455167308788431</v>
      </c>
      <c r="CJ59" s="53">
        <f>Seilareal/Lwl/Lwl/SApRS1</f>
        <v>0.86211322234812149</v>
      </c>
      <c r="CK59" s="209"/>
      <c r="CL59" s="209">
        <f>(ROUND(TBF/CL$6,3)*CL$6)*CL$4</f>
        <v>99</v>
      </c>
      <c r="CM59" s="110">
        <f t="shared" si="234"/>
        <v>0.98983038072095197</v>
      </c>
      <c r="CN59" s="64">
        <f>IF(SeilBeregnet=0,"-",(SeilBeregnet)^(1/2)*StHfaktor/(Depl+DeplTillegg/1000+Vann/1000+Diesel/1000*0.84)^(1/3))</f>
        <v>3.5453049463157962</v>
      </c>
      <c r="CO59" s="64">
        <f t="shared" si="203"/>
        <v>1.8509256943286312</v>
      </c>
      <c r="CP59" s="64">
        <f t="shared" si="204"/>
        <v>1.7223470599267343</v>
      </c>
      <c r="CQ59" s="110">
        <f t="shared" si="205"/>
        <v>1.0135447430742779</v>
      </c>
      <c r="CR59" s="172" t="str">
        <f t="shared" si="529"/>
        <v>-</v>
      </c>
      <c r="CS59" s="162"/>
      <c r="CT59" s="172" t="str">
        <f t="shared" si="530"/>
        <v>-</v>
      </c>
      <c r="CU59" s="164"/>
      <c r="CV59" s="195" t="s">
        <v>145</v>
      </c>
      <c r="CW59" s="64" t="s">
        <v>111</v>
      </c>
      <c r="CX59" s="64" t="s">
        <v>111</v>
      </c>
      <c r="CY59" s="64" t="s">
        <v>111</v>
      </c>
      <c r="CZ59" s="154" t="s">
        <v>111</v>
      </c>
      <c r="DA59" s="64">
        <f t="shared" si="210"/>
        <v>1.8898787736558318</v>
      </c>
      <c r="DB59" s="49">
        <f t="shared" si="206"/>
        <v>11.2</v>
      </c>
      <c r="DC59" s="50">
        <f t="shared" si="531"/>
        <v>0</v>
      </c>
      <c r="DE59" s="110">
        <f>IF(SeilBeregnet=0,"-",DE$7*(DG:DG+DE$6)*DL:DL*PropF+ErfaringsF+Dyp_F)</f>
        <v>0.94970875299925828</v>
      </c>
      <c r="DF59" s="144" t="str">
        <f t="shared" si="532"/>
        <v>-</v>
      </c>
      <c r="DG59" s="110">
        <f t="shared" si="533"/>
        <v>5.4594437899111252</v>
      </c>
      <c r="DH59" s="136">
        <f>IF(SeilBeregnet=0,DH57,(SeilBeregnet^0.5/(Depl^0.3333))^DH$3*DH$7)</f>
        <v>3.5640302222186833</v>
      </c>
      <c r="DI59" s="136">
        <f>IF(SeilBeregnet=0,DI57,(SeilBeregnet^0.5/Lwl)^DI$3*DI$7)</f>
        <v>0</v>
      </c>
      <c r="DJ59" s="136">
        <f>IF(SeilBeregnet=0,DJ57,(0.1*Loa/Depl^0.3333)^DJ$3*DJ$7)</f>
        <v>0</v>
      </c>
      <c r="DK59" s="136">
        <f>IF(SeilBeregnet=0,DK57,((Loa)/Bredde)^DK$3*DK$7)</f>
        <v>1.8954135676924422</v>
      </c>
      <c r="DL59" s="110">
        <f>IF(SeilBeregnet=0,DL57,(Lwl)^DL$3)</f>
        <v>1.7223470599267343</v>
      </c>
      <c r="DM59" s="136">
        <f>IF(SeilBeregnet=0,DM57,(Dypg/Loa)^DM$3*5*DM$7)</f>
        <v>1.8995387394523999</v>
      </c>
      <c r="DO59" s="110">
        <f t="shared" si="467"/>
        <v>0.98983038072095197</v>
      </c>
      <c r="DP59" s="110">
        <f t="shared" si="211"/>
        <v>0.89747521275868858</v>
      </c>
      <c r="DR59" s="110">
        <f t="shared" si="212"/>
        <v>0.91974739436948783</v>
      </c>
      <c r="DS59" s="125" t="str">
        <f t="shared" si="534"/>
        <v>-</v>
      </c>
      <c r="DT59" s="110">
        <f t="shared" si="535"/>
        <v>0.97154077076484058</v>
      </c>
      <c r="DU59" s="125" t="str">
        <f t="shared" si="536"/>
        <v>-</v>
      </c>
      <c r="DV59" s="110">
        <f>IF(SeilBeregnet=0,DV57,SeilBeregnet^0.5/Depl^0.33333)</f>
        <v>3.5638422754121475</v>
      </c>
      <c r="DW59" s="110">
        <f>IF(SeilBeregnet=0,DW57,Lwl^0.3333)</f>
        <v>2.0644105728067443</v>
      </c>
      <c r="DX59" s="110">
        <f>IF(SeilBeregnet=0,DX57,((Loa+Lwl)/Bredde)^DX$3)</f>
        <v>1.6179011774099146</v>
      </c>
      <c r="DZ59" s="110">
        <f t="shared" si="537"/>
        <v>0.97252510132971715</v>
      </c>
      <c r="EB59" s="110">
        <f>IF(SeilBeregnet=0,EB57,SeilBeregnet^0.5/Depl^0.33333)</f>
        <v>3.5638422754121475</v>
      </c>
      <c r="EC59" s="110">
        <f>IF(SeilBeregnet=0,EC57,Lwl^EC$3)</f>
        <v>2.0645452646139271</v>
      </c>
      <c r="ED59" s="110">
        <f>IF(SeilBeregnet=0,ED57,((Loa+Lwl)/Bredde)^ED$3)</f>
        <v>1.8992178984985733</v>
      </c>
      <c r="EE59" s="110">
        <f t="shared" si="538"/>
        <v>0.96295984557271652</v>
      </c>
      <c r="EG59" s="110">
        <f>IF(SeilBeregnet=0,EG57,(EH59*EI59)^EG$3)</f>
        <v>5.7659446134925423</v>
      </c>
      <c r="EH59" s="110">
        <f>IF(SeilBeregnet=0,EH57,SeilBeregnet^0.5/Depl^0.33333)</f>
        <v>3.5638422754121475</v>
      </c>
      <c r="EI59" s="110">
        <f>IF(SeilBeregnet=0,EI57,((Loa+Lwl)/Bredde)^EI$3)</f>
        <v>1.6179011774099146</v>
      </c>
      <c r="EJ59" s="110">
        <f>IF(SeilBeregnet=0,EJ57,Lwl^EJ$3)</f>
        <v>1.7223470599267343</v>
      </c>
      <c r="EK59" s="110">
        <f>IF(SeilBeregnet=0,"-",EK$7*(EK$4*EM:EM+EK$6)*EP:EP*PropF+ErfaringsF+Dyp_F)</f>
        <v>0.95638805886154099</v>
      </c>
      <c r="EM59" s="110">
        <f>IF(SeilBeregnet=0,EM57,(EN:EN*EO:EO)^EM$3)</f>
        <v>1.9194036965310342</v>
      </c>
      <c r="EN59" s="110">
        <f>IF(SeilBeregnet=0,EN57,SeilBeregnet^0.5/Depl^0.33333)</f>
        <v>3.5638422754121475</v>
      </c>
      <c r="EO59" s="110">
        <f>IF(SeilBeregnet=0,EO57,((Loa+Lwl)/Bredde/6)^EO$3)</f>
        <v>1.03374680065799</v>
      </c>
      <c r="EP59" s="110">
        <f>IF(SeilBeregnet=0,EP57,(Lwl*0.7+Loa*0.3)^EP$3)</f>
        <v>1.7354089054960848</v>
      </c>
      <c r="EQ59" s="110">
        <f>IF(SeilBeregnet=0,"-",EQ$7*(ES:ES+EQ$6)*EV:EV*PropF+ErfaringsF+Dyp_F)</f>
        <v>0.91150186744012796</v>
      </c>
      <c r="ES59" s="110">
        <f>(ET:ET*EU:EU)^ES$3</f>
        <v>1.9194543077830608</v>
      </c>
      <c r="ET59" s="110">
        <f>IF(SeilBeregnet=0,ET57,SeilBeregnet^0.5/Depl^0.3333)</f>
        <v>3.5640302222186833</v>
      </c>
      <c r="EU59" s="110">
        <f>IF(SeilBeregnet=0,EU57,((Loa+Lwl)/Bredde/6)^EU$3)</f>
        <v>1.03374680065799</v>
      </c>
      <c r="EV59" s="110">
        <f>IF(SeilBeregnet=0,EV57,(Lwl*0.7+Loa*0.3)^EV$3)</f>
        <v>1.7354089054960848</v>
      </c>
      <c r="EW59" s="110">
        <f>IF(SeilBeregnet=0,"-",EW$7*(EY:EY+EW$6)*FB:FB*PropF+ErfaringsF+Dyp_F)</f>
        <v>0.96933137326696361</v>
      </c>
      <c r="EX59" s="144" t="str">
        <f t="shared" si="539"/>
        <v>-</v>
      </c>
      <c r="EY59" s="110">
        <f>(EZ:EZ*FA:FA)^EY$3</f>
        <v>3.8086383406544573</v>
      </c>
      <c r="EZ59" s="136">
        <f>IF(SeilBeregnet=0,EZ57,(SeilBeregnet^0.5/(Depl^0.3333))^EZ$3)</f>
        <v>3.5640302222186833</v>
      </c>
      <c r="FA59" s="136">
        <f>IF(SeilBeregnet=0,FA57,((Loa+Lwl)/Bredde/6)^FA$3)</f>
        <v>1.0686324478706302</v>
      </c>
      <c r="FB59" s="110">
        <f>IF(SeilBeregnet=0,FB57,(Lwl*0.07+Loa*0.03)^FB$3)</f>
        <v>0.97589214366380161</v>
      </c>
      <c r="FC59" s="110">
        <f>IF(SeilBeregnet=0,"-",FC$7*(FE:FE+FC$6)*FI:FI*PropF+ErfaringsF+Dyp_F)</f>
        <v>0.94033065155379214</v>
      </c>
      <c r="FD59" s="144" t="str">
        <f t="shared" si="540"/>
        <v>-</v>
      </c>
      <c r="FE59" s="110">
        <f>(FF:FF+FG:FG+FH:FH)^FE$3+FE$7</f>
        <v>5.6870715441648576</v>
      </c>
      <c r="FF59" s="136">
        <f>IF(SeilBeregnet=0,FF57,(SeilBeregnet^0.5/(Depl^0.3333))^FF$3)</f>
        <v>3.5640302222186833</v>
      </c>
      <c r="FG59" s="136">
        <f>IF(SeilBeregnet=0,FG57,(SeilBeregnet^0.5/Lwl*FG$7)^FG$3)</f>
        <v>0.72762775425373272</v>
      </c>
      <c r="FH59" s="136">
        <f>IF(SeilBeregnet=0,FH57,((Loa)/Bredde)^FH$3*FH$7)</f>
        <v>1.8954135676924422</v>
      </c>
      <c r="FI59" s="110">
        <f>IF(SeilBeregnet=0,FI57,(Lwl)^FI$3)</f>
        <v>1.7223470599267343</v>
      </c>
      <c r="FJ59" s="110">
        <f>IF(SeilBeregnet=0,"-",FJ$7*(FL:FL+FJ$6)*FO:FO*PropF+ErfaringsF+Dyp_F)</f>
        <v>0.96326769192399764</v>
      </c>
      <c r="FK59" s="144" t="str">
        <f t="shared" si="541"/>
        <v>-</v>
      </c>
      <c r="FL59" s="110">
        <f>(FM:FM*FN:FN)^FL$3</f>
        <v>6.7553112388592016</v>
      </c>
      <c r="FM59" s="136">
        <f>IF(SeilBeregnet=0,FM57,(SeilBeregnet^0.5/(Depl^0.3333))^FM$3)</f>
        <v>3.5640302222186833</v>
      </c>
      <c r="FN59" s="136">
        <f>IF(SeilBeregnet=0,FN57,(Loa/Bredde)^FN$3)</f>
        <v>1.8954135676924422</v>
      </c>
      <c r="FO59" s="110">
        <f>IF(SeilBeregnet=0,FO57,Lwl^FO$3)</f>
        <v>1.7223470599267343</v>
      </c>
      <c r="FQ59" s="374">
        <v>1</v>
      </c>
      <c r="FR59" s="64">
        <f>IF(SeilBeregnet=0,"-",0.06*2.43^(1/2)*(SeilBeregnet^(1/2)/Depl^(1/3)+(Loa/Bredde)^(1/2)+5*(Dypg/Loa)^(1/2))*Lwl^(1/4)*FQ59)</f>
        <v>1.1854425257458612</v>
      </c>
      <c r="FS59" s="479"/>
      <c r="FT59" s="18"/>
      <c r="FU59" s="481"/>
      <c r="FV59" s="504"/>
      <c r="FW59" s="18"/>
      <c r="FX59" s="18"/>
      <c r="FY59" s="18"/>
      <c r="FZ59" s="18"/>
      <c r="GB59" s="18"/>
      <c r="GC59" s="481"/>
      <c r="GD59" s="8"/>
      <c r="GE59" s="8"/>
      <c r="GF59" s="8"/>
      <c r="GG59" s="8"/>
      <c r="GI59" s="18"/>
      <c r="GJ59" s="18"/>
      <c r="GK59" s="18"/>
      <c r="GL59" s="18"/>
      <c r="GM59" s="18"/>
      <c r="GN59" s="18"/>
      <c r="GO59" s="18"/>
      <c r="GP59" s="18"/>
    </row>
    <row r="60" spans="1:198" ht="15.6" x14ac:dyDescent="0.3">
      <c r="A60" s="62" t="s">
        <v>36</v>
      </c>
      <c r="B60" s="223"/>
      <c r="C60" s="63" t="str">
        <f>C59</f>
        <v>Bermuda</v>
      </c>
      <c r="D60" s="63"/>
      <c r="E60" s="63"/>
      <c r="F60" s="63"/>
      <c r="G60" s="56"/>
      <c r="H60" s="209">
        <f>TBFavrundet</f>
        <v>93</v>
      </c>
      <c r="I60" s="65">
        <f>COUNTA(O60:AD60)</f>
        <v>2</v>
      </c>
      <c r="J60" s="228">
        <f>SUM(O60:AD60)</f>
        <v>34</v>
      </c>
      <c r="K60" s="119">
        <f>Seilareal/Depl^0.667/K$7</f>
        <v>0.96244474658819701</v>
      </c>
      <c r="L60" s="119">
        <f>Seilareal/Lwl/Lwl/L$7</f>
        <v>0.66617839908718479</v>
      </c>
      <c r="M60" s="95">
        <f>RiggF</f>
        <v>1</v>
      </c>
      <c r="N60" s="265">
        <f>StHfaktor</f>
        <v>1.0135447430742779</v>
      </c>
      <c r="O60" s="147"/>
      <c r="P60" s="147"/>
      <c r="Q60" s="147"/>
      <c r="R60" s="147"/>
      <c r="S60" s="147"/>
      <c r="T60" s="169">
        <v>17</v>
      </c>
      <c r="U60" s="148"/>
      <c r="V60" s="148"/>
      <c r="W60" s="148"/>
      <c r="X60" s="148"/>
      <c r="Y60" s="147"/>
      <c r="Z60" s="147"/>
      <c r="AA60" s="147"/>
      <c r="AB60" s="169">
        <v>17</v>
      </c>
      <c r="AC60" s="147"/>
      <c r="AD60" s="148"/>
      <c r="AE60" s="260">
        <f>AE59</f>
        <v>9.8000000000000007</v>
      </c>
      <c r="AF60" s="375">
        <f xml:space="preserve"> AF59</f>
        <v>0</v>
      </c>
      <c r="AG60" s="377"/>
      <c r="AH60" s="375">
        <f xml:space="preserve"> AH59</f>
        <v>0</v>
      </c>
      <c r="AI60" s="377"/>
      <c r="AJ60" s="295" t="str">
        <f xml:space="preserve"> AJ59</f>
        <v>Meter</v>
      </c>
      <c r="AK60" s="47">
        <f>VLOOKUP(AJ60,Skrogform!$1:$1048576,3,FALSE)</f>
        <v>1</v>
      </c>
      <c r="AL60" s="66">
        <f t="shared" ref="AL60:AV60" si="632">AL59</f>
        <v>9.6999999999999993</v>
      </c>
      <c r="AM60" s="66">
        <f t="shared" si="632"/>
        <v>8.8000000000000007</v>
      </c>
      <c r="AN60" s="66">
        <f t="shared" si="632"/>
        <v>2.7</v>
      </c>
      <c r="AO60" s="66">
        <f t="shared" si="632"/>
        <v>1.4</v>
      </c>
      <c r="AP60" s="66">
        <f t="shared" si="632"/>
        <v>5.8</v>
      </c>
      <c r="AQ60" s="66">
        <f t="shared" si="632"/>
        <v>2.6</v>
      </c>
      <c r="AR60" s="66">
        <f t="shared" si="632"/>
        <v>0.03</v>
      </c>
      <c r="AS60" s="284">
        <f t="shared" si="632"/>
        <v>31</v>
      </c>
      <c r="AT60" s="284">
        <f t="shared" si="632"/>
        <v>150</v>
      </c>
      <c r="AU60" s="284">
        <f t="shared" si="632"/>
        <v>50</v>
      </c>
      <c r="AV60" s="284">
        <f t="shared" si="632"/>
        <v>100</v>
      </c>
      <c r="AW60" s="284"/>
      <c r="AX60" s="284">
        <f>AX59</f>
        <v>0</v>
      </c>
      <c r="AY60" s="68"/>
      <c r="AZ60" s="68"/>
      <c r="BA60" s="289"/>
      <c r="BB60" s="68"/>
      <c r="BC60" s="179"/>
      <c r="BD60" s="68"/>
      <c r="BE60" s="68"/>
      <c r="BF60" s="67" t="str">
        <f xml:space="preserve"> BF59</f>
        <v>Seilrett</v>
      </c>
      <c r="BG60" s="295">
        <f xml:space="preserve"> BG59</f>
        <v>2</v>
      </c>
      <c r="BH60" s="295">
        <f xml:space="preserve"> BH59</f>
        <v>43</v>
      </c>
      <c r="BI60" s="47">
        <f t="shared" si="464"/>
        <v>1</v>
      </c>
      <c r="BJ60" s="61"/>
      <c r="BK60" s="61"/>
      <c r="BM60" s="51">
        <f t="shared" si="611"/>
        <v>0</v>
      </c>
      <c r="BN60" s="51">
        <f t="shared" si="611"/>
        <v>0</v>
      </c>
      <c r="BO60" s="51">
        <f t="shared" si="611"/>
        <v>0</v>
      </c>
      <c r="BP60" s="51">
        <f t="shared" si="611"/>
        <v>0</v>
      </c>
      <c r="BQ60" s="51">
        <f t="shared" si="611"/>
        <v>0</v>
      </c>
      <c r="BR60" s="51">
        <f t="shared" si="611"/>
        <v>17</v>
      </c>
      <c r="BS60" s="52">
        <f>IF(COUNT(P60:T60)&gt;1,MINA(P60:T60)*BS$9,0)</f>
        <v>0</v>
      </c>
      <c r="BT60" s="88">
        <f t="shared" si="612"/>
        <v>0</v>
      </c>
      <c r="BU60" s="88">
        <f t="shared" si="612"/>
        <v>0</v>
      </c>
      <c r="BV60" s="88">
        <f t="shared" si="612"/>
        <v>0</v>
      </c>
      <c r="BW60" s="88">
        <f t="shared" si="612"/>
        <v>0</v>
      </c>
      <c r="BX60" s="88">
        <f t="shared" si="612"/>
        <v>0</v>
      </c>
      <c r="BY60" s="88">
        <f t="shared" si="612"/>
        <v>0</v>
      </c>
      <c r="BZ60" s="88">
        <f t="shared" si="612"/>
        <v>0</v>
      </c>
      <c r="CA60" s="88">
        <f t="shared" si="612"/>
        <v>17</v>
      </c>
      <c r="CB60" s="88">
        <f t="shared" si="612"/>
        <v>0</v>
      </c>
      <c r="CC60" s="88">
        <f t="shared" si="612"/>
        <v>0</v>
      </c>
      <c r="CD60" s="103">
        <f>SUM(BM60:CC60)</f>
        <v>34</v>
      </c>
      <c r="CE60" s="52"/>
      <c r="CF60" s="107">
        <f>J60</f>
        <v>34</v>
      </c>
      <c r="CG60" s="104">
        <f>CD60/CF60</f>
        <v>1</v>
      </c>
      <c r="CH60" s="53">
        <f>Seilareal/Lwl/Lwl</f>
        <v>0.43904958677685946</v>
      </c>
      <c r="CI60" s="119">
        <f>Seilareal/Depl^0.667/K$7</f>
        <v>0.96244474658819701</v>
      </c>
      <c r="CJ60" s="53">
        <f>Seilareal/Lwl/Lwl/SApRS1</f>
        <v>0.66617839908718479</v>
      </c>
      <c r="CK60" s="209"/>
      <c r="CL60" s="209">
        <f>(ROUND(TBF/CL$6,3)*CL$6)*CL$4</f>
        <v>93</v>
      </c>
      <c r="CM60" s="110">
        <f t="shared" si="234"/>
        <v>0.9317193196726411</v>
      </c>
      <c r="CN60" s="64">
        <f>IF(SeilBeregnet=0,"-",(SeilBeregnet)^(1/2)*StHfaktor/(Depl+DeplTillegg/1000+Vann/1000+Diesel/1000*0.84)^(1/3))</f>
        <v>3.2285024978388623</v>
      </c>
      <c r="CO60" s="64">
        <f t="shared" si="203"/>
        <v>1.8509256943286312</v>
      </c>
      <c r="CP60" s="64">
        <f t="shared" si="204"/>
        <v>1.7223470599267343</v>
      </c>
      <c r="CQ60" s="110">
        <f t="shared" si="205"/>
        <v>1.0135447430742779</v>
      </c>
      <c r="CR60" s="172" t="str">
        <f t="shared" si="529"/>
        <v>-</v>
      </c>
      <c r="CS60" s="162"/>
      <c r="CT60" s="172" t="str">
        <f t="shared" si="530"/>
        <v>-</v>
      </c>
      <c r="CU60" s="164"/>
      <c r="CV60" s="195" t="s">
        <v>145</v>
      </c>
      <c r="CW60" s="64" t="s">
        <v>111</v>
      </c>
      <c r="CX60" s="64" t="s">
        <v>111</v>
      </c>
      <c r="CY60" s="64" t="s">
        <v>111</v>
      </c>
      <c r="CZ60" s="154" t="s">
        <v>111</v>
      </c>
      <c r="DA60" s="64">
        <f t="shared" si="210"/>
        <v>1.8898787736558318</v>
      </c>
      <c r="DB60" s="49">
        <f t="shared" si="206"/>
        <v>11.2</v>
      </c>
      <c r="DC60" s="50">
        <f t="shared" si="531"/>
        <v>0</v>
      </c>
      <c r="DE60" s="110">
        <f>IF(SeilBeregnet=0,"-",DE$7*(DG:DG+DE$6)*DL:DL*PropF+ErfaringsF+Dyp_F)</f>
        <v>0.8943076574653207</v>
      </c>
      <c r="DF60" s="144" t="str">
        <f t="shared" si="532"/>
        <v>-</v>
      </c>
      <c r="DG60" s="110">
        <f t="shared" si="533"/>
        <v>5.1409680824778334</v>
      </c>
      <c r="DH60" s="136">
        <f>IF(SeilBeregnet=0,DH59,(SeilBeregnet^0.5/(Depl^0.3333))^DH$3*DH$7)</f>
        <v>3.2455545147853915</v>
      </c>
      <c r="DI60" s="136">
        <f>IF(SeilBeregnet=0,DI59,(SeilBeregnet^0.5/Lwl)^DI$3*DI$7)</f>
        <v>0</v>
      </c>
      <c r="DJ60" s="136">
        <f>IF(SeilBeregnet=0,DJ59,(0.1*Loa/Depl^0.3333)^DJ$3*DJ$7)</f>
        <v>0</v>
      </c>
      <c r="DK60" s="136">
        <f>IF(SeilBeregnet=0,DK59,((Loa)/Bredde)^DK$3*DK$7)</f>
        <v>1.8954135676924422</v>
      </c>
      <c r="DL60" s="110">
        <f>IF(SeilBeregnet=0,DL59,(Lwl)^DL$3)</f>
        <v>1.7223470599267343</v>
      </c>
      <c r="DM60" s="136">
        <f>IF(SeilBeregnet=0,DM59,(Dypg/Loa)^DM$3*5*DM$7)</f>
        <v>1.8995387394523999</v>
      </c>
      <c r="DO60" s="110">
        <f t="shared" si="467"/>
        <v>0.9317193196726411</v>
      </c>
      <c r="DP60" s="110">
        <f t="shared" si="211"/>
        <v>0.8349097841853953</v>
      </c>
      <c r="DR60" s="110">
        <f t="shared" si="212"/>
        <v>0.86757820566220367</v>
      </c>
      <c r="DS60" s="125" t="str">
        <f t="shared" si="534"/>
        <v>-</v>
      </c>
      <c r="DT60" s="110">
        <f t="shared" si="535"/>
        <v>0.90488480932985049</v>
      </c>
      <c r="DU60" s="125" t="str">
        <f t="shared" si="536"/>
        <v>-</v>
      </c>
      <c r="DV60" s="110">
        <f>IF(SeilBeregnet=0,DV59,SeilBeregnet^0.5/Depl^0.33333)</f>
        <v>3.2453833625873298</v>
      </c>
      <c r="DW60" s="110">
        <f>IF(SeilBeregnet=0,DW59,Lwl^0.3333)</f>
        <v>2.0644105728067443</v>
      </c>
      <c r="DX60" s="110">
        <f>IF(SeilBeregnet=0,DX59,((Loa+Lwl)/Bredde)^DX$3)</f>
        <v>1.6179011774099146</v>
      </c>
      <c r="DZ60" s="110">
        <f t="shared" si="537"/>
        <v>0.91172692864905758</v>
      </c>
      <c r="EB60" s="110">
        <f>IF(SeilBeregnet=0,EB59,SeilBeregnet^0.5/Depl^0.33333)</f>
        <v>3.2453833625873298</v>
      </c>
      <c r="EC60" s="110">
        <f>IF(SeilBeregnet=0,EC59,Lwl^EC$3)</f>
        <v>2.0645452646139271</v>
      </c>
      <c r="ED60" s="110">
        <f>IF(SeilBeregnet=0,ED59,((Loa+Lwl)/Bredde)^ED$3)</f>
        <v>1.8992178984985733</v>
      </c>
      <c r="EE60" s="110">
        <f t="shared" si="538"/>
        <v>0.89907184625129433</v>
      </c>
      <c r="EG60" s="110">
        <f>IF(SeilBeregnet=0,EG59,(EH60*EI60)^EG$3)</f>
        <v>5.2507095634765886</v>
      </c>
      <c r="EH60" s="110">
        <f>IF(SeilBeregnet=0,EH59,SeilBeregnet^0.5/Depl^0.33333)</f>
        <v>3.2453833625873298</v>
      </c>
      <c r="EI60" s="110">
        <f>IF(SeilBeregnet=0,EI59,((Loa+Lwl)/Bredde)^EI$3)</f>
        <v>1.6179011774099146</v>
      </c>
      <c r="EJ60" s="110">
        <f>IF(SeilBeregnet=0,EJ59,Lwl^EJ$3)</f>
        <v>1.7223470599267343</v>
      </c>
      <c r="EK60" s="110">
        <f>IF(SeilBeregnet=0,"-",EK$7*(EK$4*EM:EM+EK$6)*EP:EP*PropF+ErfaringsF+Dyp_F)</f>
        <v>0.89725318296807577</v>
      </c>
      <c r="EM60" s="110">
        <f>IF(SeilBeregnet=0,EM59,(EN:EN*EO:EO)^EM$3)</f>
        <v>1.8316398849073257</v>
      </c>
      <c r="EN60" s="110">
        <f>IF(SeilBeregnet=0,EN59,SeilBeregnet^0.5/Depl^0.33333)</f>
        <v>3.2453833625873298</v>
      </c>
      <c r="EO60" s="110">
        <f>IF(SeilBeregnet=0,EO59,((Loa+Lwl)/Bredde/6)^EO$3)</f>
        <v>1.03374680065799</v>
      </c>
      <c r="EP60" s="110">
        <f>IF(SeilBeregnet=0,EP59,(Lwl*0.7+Loa*0.3)^EP$3)</f>
        <v>1.7354089054960848</v>
      </c>
      <c r="EQ60" s="110">
        <f>IF(SeilBeregnet=0,"-",EQ$7*(ES:ES+EQ$6)*EV:EV*PropF+ErfaringsF+Dyp_F)</f>
        <v>0.86982388258824217</v>
      </c>
      <c r="ES60" s="110">
        <f>(ET:ET*EU:EU)^ES$3</f>
        <v>1.8316881819841755</v>
      </c>
      <c r="ET60" s="110">
        <f>IF(SeilBeregnet=0,ET59,SeilBeregnet^0.5/Depl^0.3333)</f>
        <v>3.2455545147853915</v>
      </c>
      <c r="EU60" s="110">
        <f>IF(SeilBeregnet=0,EU59,((Loa+Lwl)/Bredde/6)^EU$3)</f>
        <v>1.03374680065799</v>
      </c>
      <c r="EV60" s="110">
        <f>IF(SeilBeregnet=0,EV59,(Lwl*0.7+Loa*0.3)^EV$3)</f>
        <v>1.7354089054960848</v>
      </c>
      <c r="EW60" s="110">
        <f>IF(SeilBeregnet=0,"-",EW$7*(EY:EY+EW$6)*FB:FB*PropF+ErfaringsF+Dyp_F)</f>
        <v>0.91253735457091678</v>
      </c>
      <c r="EX60" s="144" t="str">
        <f t="shared" si="539"/>
        <v>-</v>
      </c>
      <c r="EY60" s="110">
        <f>(EZ:EZ*FA:FA)^EY$3</f>
        <v>3.468304865832688</v>
      </c>
      <c r="EZ60" s="136">
        <f>IF(SeilBeregnet=0,EZ59,(SeilBeregnet^0.5/(Depl^0.3333))^EZ$3)</f>
        <v>3.2455545147853915</v>
      </c>
      <c r="FA60" s="136">
        <f>IF(SeilBeregnet=0,FA59,((Loa+Lwl)/Bredde/6)^FA$3)</f>
        <v>1.0686324478706302</v>
      </c>
      <c r="FB60" s="110">
        <f>IF(SeilBeregnet=0,FB59,(Lwl*0.07+Loa*0.03)^FB$3)</f>
        <v>0.97589214366380161</v>
      </c>
      <c r="FC60" s="110">
        <f>IF(SeilBeregnet=0,"-",FC$7*(FE:FE+FC$6)*FI:FI*PropF+ErfaringsF+Dyp_F)</f>
        <v>0.87692150067133878</v>
      </c>
      <c r="FD60" s="144" t="str">
        <f t="shared" si="540"/>
        <v>-</v>
      </c>
      <c r="FE60" s="110">
        <f>(FF:FF+FG:FG+FH:FH)^FE$3+FE$7</f>
        <v>5.3035762523466179</v>
      </c>
      <c r="FF60" s="136">
        <f>IF(SeilBeregnet=0,FF59,(SeilBeregnet^0.5/(Depl^0.3333))^FF$3)</f>
        <v>3.2455545147853915</v>
      </c>
      <c r="FG60" s="136">
        <f>IF(SeilBeregnet=0,FG59,(SeilBeregnet^0.5/Lwl*FG$7)^FG$3)</f>
        <v>0.66260816986878412</v>
      </c>
      <c r="FH60" s="136">
        <f>IF(SeilBeregnet=0,FH59,((Loa)/Bredde)^FH$3*FH$7)</f>
        <v>1.8954135676924422</v>
      </c>
      <c r="FI60" s="110">
        <f>IF(SeilBeregnet=0,FI59,(Lwl)^FI$3)</f>
        <v>1.7223470599267343</v>
      </c>
      <c r="FJ60" s="110">
        <f>IF(SeilBeregnet=0,"-",FJ$7*(FL:FL+FJ$6)*FO:FO*PropF+ErfaringsF+Dyp_F)</f>
        <v>0.90920417327763503</v>
      </c>
      <c r="FK60" s="144" t="str">
        <f t="shared" si="541"/>
        <v>-</v>
      </c>
      <c r="FL60" s="110">
        <f>(FM:FM*FN:FN)^FL$3</f>
        <v>6.1516680620096915</v>
      </c>
      <c r="FM60" s="136">
        <f>IF(SeilBeregnet=0,FM59,(SeilBeregnet^0.5/(Depl^0.3333))^FM$3)</f>
        <v>3.2455545147853915</v>
      </c>
      <c r="FN60" s="136">
        <f>IF(SeilBeregnet=0,FN59,(Loa/Bredde)^FN$3)</f>
        <v>1.8954135676924422</v>
      </c>
      <c r="FO60" s="110">
        <f>IF(SeilBeregnet=0,FO59,Lwl^FO$3)</f>
        <v>1.7223470599267343</v>
      </c>
      <c r="FQ60" s="374">
        <v>1</v>
      </c>
      <c r="FR60" s="64">
        <f>IF(SeilBeregnet=0,"-",0.06*2.43^(1/2)*(SeilBeregnet^(1/2)/Depl^(1/3)+(Loa/Bredde)^(1/2)+5*(Dypg/Loa)^(1/2))*Lwl^(1/4)*FQ60)</f>
        <v>1.1341415153744616</v>
      </c>
      <c r="FS60" s="479"/>
      <c r="FT60" s="18"/>
      <c r="FU60" s="481"/>
      <c r="FV60" s="504"/>
      <c r="FW60" s="18"/>
      <c r="FX60" s="18"/>
      <c r="FY60" s="18"/>
      <c r="FZ60" s="18"/>
      <c r="GB60" s="18"/>
      <c r="GC60" s="481"/>
      <c r="GD60" s="8"/>
      <c r="GE60" s="8"/>
      <c r="GF60" s="8"/>
      <c r="GG60" s="8"/>
      <c r="GI60" s="18"/>
      <c r="GJ60" s="18"/>
      <c r="GK60" s="18"/>
      <c r="GL60" s="18"/>
      <c r="GM60" s="18"/>
      <c r="GN60" s="18"/>
      <c r="GO60" s="18"/>
      <c r="GP60" s="18"/>
    </row>
    <row r="61" spans="1:198" ht="22.8" x14ac:dyDescent="0.3">
      <c r="A61" s="54" t="s">
        <v>293</v>
      </c>
      <c r="B61" s="223">
        <f t="shared" si="199"/>
        <v>40.682414698162731</v>
      </c>
      <c r="C61" s="55" t="s">
        <v>22</v>
      </c>
      <c r="D61" s="55"/>
      <c r="E61" s="55"/>
      <c r="F61" s="55"/>
      <c r="G61" s="56"/>
      <c r="H61" s="209"/>
      <c r="I61" s="126" t="str">
        <f>A61</f>
        <v>Vilde</v>
      </c>
      <c r="J61" s="229"/>
      <c r="K61" s="119"/>
      <c r="L61" s="119"/>
      <c r="M61" s="95"/>
      <c r="N61" s="265"/>
      <c r="O61" s="169"/>
      <c r="P61" s="169"/>
      <c r="Q61" s="169">
        <v>27.8</v>
      </c>
      <c r="R61" s="169"/>
      <c r="S61" s="169"/>
      <c r="T61" s="169">
        <v>16.5</v>
      </c>
      <c r="U61" s="169">
        <v>44.5</v>
      </c>
      <c r="V61" s="169"/>
      <c r="W61" s="169"/>
      <c r="X61" s="169"/>
      <c r="Y61" s="169">
        <v>8.4</v>
      </c>
      <c r="Z61" s="169"/>
      <c r="AA61" s="169"/>
      <c r="AB61" s="169"/>
      <c r="AC61" s="169"/>
      <c r="AD61" s="169"/>
      <c r="AE61" s="270">
        <v>11.25</v>
      </c>
      <c r="AF61" s="296"/>
      <c r="AG61" s="377"/>
      <c r="AH61" s="296"/>
      <c r="AI61" s="377"/>
      <c r="AJ61" s="296" t="s">
        <v>237</v>
      </c>
      <c r="AK61" s="47">
        <f>VLOOKUP(AJ61,Skrogform!$1:$1048576,3,FALSE)</f>
        <v>0.98</v>
      </c>
      <c r="AL61" s="57">
        <v>12.4</v>
      </c>
      <c r="AM61" s="57">
        <v>10.199999999999999</v>
      </c>
      <c r="AN61" s="57">
        <v>3.6</v>
      </c>
      <c r="AO61" s="57">
        <v>1.8</v>
      </c>
      <c r="AP61" s="57">
        <v>16</v>
      </c>
      <c r="AQ61" s="57">
        <v>5</v>
      </c>
      <c r="AR61" s="57">
        <v>1</v>
      </c>
      <c r="AS61" s="281">
        <v>65</v>
      </c>
      <c r="AT61" s="282">
        <f>AS61*7</f>
        <v>455</v>
      </c>
      <c r="AU61" s="281">
        <v>250</v>
      </c>
      <c r="AV61" s="281">
        <v>100</v>
      </c>
      <c r="AW61" s="270">
        <f>Depl+Diesel/1000+Vann/1000</f>
        <v>16.350000000000001</v>
      </c>
      <c r="AX61" s="281"/>
      <c r="AY61" s="98">
        <f>Bredde/(Loa+Lwl)*2</f>
        <v>0.31858407079646017</v>
      </c>
      <c r="AZ61" s="98">
        <f>(Kjøl+Ballast)/Depl</f>
        <v>0.375</v>
      </c>
      <c r="BA61" s="288">
        <f>BA$7*((Depl-Kjøl-Ballast-VektMotor/1000-VektAnnet/1000)/Loa/Lwl/Bredde)</f>
        <v>0.9070217225609758</v>
      </c>
      <c r="BB61" s="98">
        <f>BB$7*(Depl/Loa/Lwl/Lwl)</f>
        <v>0.93129251700680282</v>
      </c>
      <c r="BC61" s="178">
        <f>BC$7*(Depl/Loa/Lwl/Bredde)</f>
        <v>0.97534013605442194</v>
      </c>
      <c r="BD61" s="98">
        <f>BD$7*Bredde/(Loa+Lwl)*2</f>
        <v>0.90882101056237508</v>
      </c>
      <c r="BE61" s="98">
        <f>BE$7*(Dypg/Lwl)</f>
        <v>0.96521739130434792</v>
      </c>
      <c r="BF61" s="58" t="s">
        <v>42</v>
      </c>
      <c r="BG61" s="296">
        <v>3</v>
      </c>
      <c r="BH61" s="296">
        <v>40</v>
      </c>
      <c r="BI61" s="47">
        <f t="shared" si="464"/>
        <v>0.98861021875730792</v>
      </c>
      <c r="BJ61" s="61"/>
      <c r="BK61" s="61"/>
      <c r="BM61" s="214"/>
      <c r="BN61" s="214" t="str">
        <f>$A61</f>
        <v>Vilde</v>
      </c>
      <c r="BO61" s="10"/>
      <c r="BP61" s="10"/>
      <c r="BQ61" s="10"/>
      <c r="BR61" s="10">
        <f>IF(T61=0,0,T61*BR$9)</f>
        <v>16.5</v>
      </c>
      <c r="BS61" s="52"/>
      <c r="BT61" s="214" t="str">
        <f>$A61</f>
        <v>Vilde</v>
      </c>
      <c r="BU61" s="10"/>
      <c r="BV61" s="10"/>
      <c r="BW61" s="10"/>
      <c r="BX61" s="10"/>
      <c r="BY61" s="10"/>
      <c r="BZ61" s="10"/>
      <c r="CA61" s="10"/>
      <c r="CB61" s="10"/>
      <c r="CC61" s="10"/>
      <c r="CD61" s="214"/>
      <c r="CE61" s="10"/>
      <c r="CF61" s="214" t="str">
        <f>$A61</f>
        <v>Vilde</v>
      </c>
      <c r="CG61" s="212"/>
      <c r="CH61" s="212"/>
      <c r="CI61" s="119"/>
      <c r="CJ61" s="212"/>
      <c r="CK61" s="208"/>
      <c r="CL61" s="208" t="s">
        <v>26</v>
      </c>
      <c r="CM61" s="110" t="str">
        <f t="shared" si="234"/>
        <v>-</v>
      </c>
      <c r="CN61" s="64" t="str">
        <f>IF(SeilBeregnet=0,"-",(SeilBeregnet)^(1/2)*StHfaktor/(Depl+DeplTillegg/1000+Vann/1000+Diesel/1000*0.84)^(1/3))</f>
        <v>-</v>
      </c>
      <c r="CO61" s="64" t="str">
        <f t="shared" si="203"/>
        <v>-</v>
      </c>
      <c r="CP61" s="64" t="str">
        <f t="shared" si="204"/>
        <v>-</v>
      </c>
      <c r="CQ61" s="110" t="str">
        <f t="shared" si="205"/>
        <v>-</v>
      </c>
      <c r="CR61" s="172" t="str">
        <f t="shared" si="390"/>
        <v>-</v>
      </c>
      <c r="CS61" s="162"/>
      <c r="CT61" s="172" t="str">
        <f t="shared" si="391"/>
        <v>-</v>
      </c>
      <c r="CU61" s="164">
        <v>1.19</v>
      </c>
      <c r="CV61" s="195" t="s">
        <v>145</v>
      </c>
      <c r="CW61" s="30" t="s">
        <v>26</v>
      </c>
      <c r="CX61" s="30" t="s">
        <v>26</v>
      </c>
      <c r="CY61" s="30" t="s">
        <v>26</v>
      </c>
      <c r="CZ61" s="153">
        <v>2022</v>
      </c>
      <c r="DA61" s="64" t="str">
        <f t="shared" si="392"/>
        <v>-</v>
      </c>
      <c r="DB61" s="49">
        <f t="shared" si="393"/>
        <v>12.162162162162163</v>
      </c>
      <c r="DC61" s="50">
        <f t="shared" si="394"/>
        <v>0</v>
      </c>
      <c r="DE61" s="110" t="str">
        <f>IF(SeilBeregnet=0,"-",DE$7*(DG:DG+DE$6)*DL:DL*PropF+ErfaringsF+Dyp_F)</f>
        <v>-</v>
      </c>
      <c r="DF61" s="144" t="str">
        <f t="shared" ref="DF61:DF64" si="633">IF($DQ61=0,"-",(DE61-$DO61)*100)</f>
        <v>-</v>
      </c>
      <c r="DG61" s="110">
        <f t="shared" si="395"/>
        <v>4.3286689419696174</v>
      </c>
      <c r="DH61" s="136">
        <f>IF(SeilBeregnet=0,DH46,(SeilBeregnet^0.5/(Depl^0.3333))^DH$3*DH$7)</f>
        <v>2.5004277780569737</v>
      </c>
      <c r="DI61" s="136">
        <f>IF(SeilBeregnet=0,DI46,(SeilBeregnet^0.5/Lwl)^DI$3*DI$7)</f>
        <v>0</v>
      </c>
      <c r="DJ61" s="136">
        <f>IF(SeilBeregnet=0,DJ46,(0.1*Loa/Depl^0.3333)^DJ$3*DJ$7)</f>
        <v>0</v>
      </c>
      <c r="DK61" s="136">
        <f>IF(SeilBeregnet=0,DK46,((Loa)/Bredde)^DK$3*DK$7)</f>
        <v>1.8282411639126435</v>
      </c>
      <c r="DL61" s="110">
        <f>IF(SeilBeregnet=0,DL46,(Lwl)^DL$3)</f>
        <v>1.800102871839254</v>
      </c>
      <c r="DM61" s="136">
        <f>IF(SeilBeregnet=0,DM46,(Dypg/Loa)^DM$3*5*DM$7)</f>
        <v>1.9470448393802795</v>
      </c>
      <c r="DO61" s="110" t="str">
        <f t="shared" si="344"/>
        <v>-</v>
      </c>
      <c r="DP61" s="110" t="str">
        <f t="shared" si="396"/>
        <v>-</v>
      </c>
      <c r="DR61" s="110" t="str">
        <f t="shared" si="397"/>
        <v>-</v>
      </c>
      <c r="DS61" s="125" t="str">
        <f t="shared" ref="DS61:DS64" si="634">IF($DQ61=0,"-",DR61-$DO61)</f>
        <v>-</v>
      </c>
      <c r="DT61" s="110" t="str">
        <f t="shared" si="398"/>
        <v>-</v>
      </c>
      <c r="DU61" s="125" t="str">
        <f t="shared" ref="DU61:DU64" si="635">IF($DQ61=0,"-",DT61-$DO61)</f>
        <v>-</v>
      </c>
      <c r="DV61" s="110">
        <f>IF(SeilBeregnet=0,DV46,SeilBeregnet^0.5/Depl^0.33333)</f>
        <v>2.500217954862535</v>
      </c>
      <c r="DW61" s="110">
        <f>IF(SeilBeregnet=0,DW46,Lwl^0.3333)</f>
        <v>2.1895879451208748</v>
      </c>
      <c r="DX61" s="110">
        <f>IF(SeilBeregnet=0,DX46,((Loa+Lwl)/Bredde)^DX$3)</f>
        <v>1.579185865474966</v>
      </c>
      <c r="DZ61" s="110" t="str">
        <f t="shared" si="399"/>
        <v>-</v>
      </c>
      <c r="EB61" s="110">
        <f>IF(SeilBeregnet=0,EB46,SeilBeregnet^0.5/Depl^0.33333)</f>
        <v>2.500217954862535</v>
      </c>
      <c r="EC61" s="110">
        <f>IF(SeilBeregnet=0,EC46,Lwl^EC$3)</f>
        <v>2.1897424068563001</v>
      </c>
      <c r="ED61" s="110">
        <f>IF(SeilBeregnet=0,ED46,((Loa+Lwl)/Bredde)^ED$3)</f>
        <v>1.8388707573234102</v>
      </c>
      <c r="EE61" s="110" t="str">
        <f t="shared" si="400"/>
        <v>-</v>
      </c>
      <c r="EG61" s="110">
        <f>IF(SeilBeregnet=0,EG46,(EH61*EI61)^EG$3)</f>
        <v>3.9483088549256418</v>
      </c>
      <c r="EH61" s="110">
        <f>IF(SeilBeregnet=0,EH46,SeilBeregnet^0.5/Depl^0.33333)</f>
        <v>2.500217954862535</v>
      </c>
      <c r="EI61" s="110">
        <f>IF(SeilBeregnet=0,EI46,((Loa+Lwl)/Bredde)^EI$3)</f>
        <v>1.579185865474966</v>
      </c>
      <c r="EJ61" s="110">
        <f>IF(SeilBeregnet=0,EJ46,Lwl^EJ$3)</f>
        <v>1.800102871839254</v>
      </c>
      <c r="EK61" s="110" t="str">
        <f>IF(SeilBeregnet=0,"-",EK$7*(EK$4*EM:EM+EK$6)*EP:EP*PropF+ErfaringsF+Dyp_F)</f>
        <v>-</v>
      </c>
      <c r="EM61" s="110">
        <f>IF(SeilBeregnet=0,EM46,(EN:EN*EO:EO)^EM$3)</f>
        <v>1.5883150557396459</v>
      </c>
      <c r="EN61" s="110">
        <f>IF(SeilBeregnet=0,EN46,SeilBeregnet^0.5/Depl^0.33333)</f>
        <v>2.500217954862535</v>
      </c>
      <c r="EO61" s="110">
        <f>IF(SeilBeregnet=0,EO46,((Loa+Lwl)/Bredde/6)^EO$3)</f>
        <v>1.0090099190684112</v>
      </c>
      <c r="EP61" s="110">
        <f>IF(SeilBeregnet=0,EP46,(Lwl*0.7+Loa*0.3)^EP$3)</f>
        <v>1.8215740458755476</v>
      </c>
      <c r="EQ61" s="110" t="str">
        <f>IF(SeilBeregnet=0,"-",EQ$7*(ES:ES+EQ$6)*EV:EV*PropF+ErfaringsF+Dyp_F)</f>
        <v>-</v>
      </c>
      <c r="ES61" s="110">
        <f>(ET:ET*EU:EU)^ES$3</f>
        <v>1.5883817015987292</v>
      </c>
      <c r="ET61" s="110">
        <f>IF(SeilBeregnet=0,ET46,SeilBeregnet^0.5/Depl^0.3333)</f>
        <v>2.5004277780569737</v>
      </c>
      <c r="EU61" s="110">
        <f>IF(SeilBeregnet=0,EU46,((Loa+Lwl)/Bredde/6)^EU$3)</f>
        <v>1.0090099190684112</v>
      </c>
      <c r="EV61" s="110">
        <f>IF(SeilBeregnet=0,EV46,(Lwl*0.7+Loa*0.3)^EV$3)</f>
        <v>1.8215740458755476</v>
      </c>
      <c r="EW61" s="110" t="str">
        <f>IF(SeilBeregnet=0,"-",EW$7*(EY:EY+EW$6)*FB:FB*PropF+ErfaringsF+Dyp_F)</f>
        <v>-</v>
      </c>
      <c r="EX61" s="144" t="str">
        <f t="shared" ref="EX61:EX64" si="636">IF($DQ61=0,"-",(EW61-$DO61)*100)</f>
        <v>-</v>
      </c>
      <c r="EY61" s="110">
        <f>(EZ:EZ*FA:FA)^EY$3</f>
        <v>2.5456880632208647</v>
      </c>
      <c r="EZ61" s="136">
        <f>IF(SeilBeregnet=0,EZ46,(SeilBeregnet^0.5/(Depl^0.3333))^EZ$3)</f>
        <v>2.5004277780569737</v>
      </c>
      <c r="FA61" s="136">
        <f>IF(SeilBeregnet=0,FA46,((Loa+Lwl)/Bredde/6)^FA$3)</f>
        <v>1.0181010167784417</v>
      </c>
      <c r="FB61" s="110">
        <f>IF(SeilBeregnet=0,FB46,(Lwl*0.07+Loa*0.03)^FB$3)</f>
        <v>1.0243463628900011</v>
      </c>
      <c r="FC61" s="110" t="str">
        <f>IF(SeilBeregnet=0,"-",FC$7*(FE:FE+FC$6)*FI:FI*PropF+ErfaringsF+Dyp_F)</f>
        <v>-</v>
      </c>
      <c r="FD61" s="144" t="str">
        <f t="shared" ref="FD61:FD64" si="637">IF($DQ61=0,"-",(FC61-$DO61)*100)</f>
        <v>-</v>
      </c>
      <c r="FE61" s="110">
        <f>(FF:FF+FG:FG+FH:FH)^FE$3+FE$7</f>
        <v>4.4336370358041792</v>
      </c>
      <c r="FF61" s="136">
        <f>IF(SeilBeregnet=0,FF46,(SeilBeregnet^0.5/(Depl^0.3333))^FF$3)</f>
        <v>2.5004277780569737</v>
      </c>
      <c r="FG61" s="136">
        <f>IF(SeilBeregnet=0,FG46,(SeilBeregnet^0.5/Lwl*FG$7)^FG$3)</f>
        <v>0.60496809383456185</v>
      </c>
      <c r="FH61" s="136">
        <f>IF(SeilBeregnet=0,FH46,((Loa)/Bredde)^FH$3*FH$7)</f>
        <v>1.8282411639126435</v>
      </c>
      <c r="FI61" s="110">
        <f>IF(SeilBeregnet=0,FI46,(Lwl)^FI$3)</f>
        <v>1.800102871839254</v>
      </c>
      <c r="FJ61" s="110" t="str">
        <f>IF(SeilBeregnet=0,"-",FJ$7*(FL:FL+FJ$6)*FO:FO*PropF+ErfaringsF+Dyp_F)</f>
        <v>-</v>
      </c>
      <c r="FK61" s="144" t="str">
        <f t="shared" ref="FK61:FK64" si="638">IF($DQ61=0,"-",(FJ61-$DO61)*100)</f>
        <v>-</v>
      </c>
      <c r="FL61" s="110">
        <f>(FM:FM*FN:FN)^FL$3</f>
        <v>4.5713849912343862</v>
      </c>
      <c r="FM61" s="136">
        <f>IF(SeilBeregnet=0,FM46,(SeilBeregnet^0.5/(Depl^0.3333))^FM$3)</f>
        <v>2.5004277780569737</v>
      </c>
      <c r="FN61" s="136">
        <f>IF(SeilBeregnet=0,FN46,(Loa/Bredde)^FN$3)</f>
        <v>1.8282411639126435</v>
      </c>
      <c r="FO61" s="110">
        <f>IF(SeilBeregnet=0,FO46,Lwl^FO$3)</f>
        <v>1.800102871839254</v>
      </c>
      <c r="FQ61">
        <v>0.95</v>
      </c>
      <c r="FR61" s="64" t="str">
        <f t="shared" ref="FR61:FR64" si="639">IF(SeilBeregnet=0,"-",0.06*2.43^(1/2)*(SeilBeregnet^(1/2)/Depl^(1/3)+(Loa/Bredde)^(1/2)+5*(Dypg/Loa)^(1/2))*Lwl^(1/4)*FQ61)</f>
        <v>-</v>
      </c>
      <c r="FS61" s="480" t="s">
        <v>581</v>
      </c>
      <c r="FT61" s="59" t="s">
        <v>580</v>
      </c>
      <c r="FU61" s="475" t="s">
        <v>582</v>
      </c>
      <c r="FV61" s="508" t="s">
        <v>583</v>
      </c>
      <c r="FW61" s="59" t="s">
        <v>584</v>
      </c>
      <c r="FX61" s="59" t="s">
        <v>585</v>
      </c>
      <c r="FY61" s="59" t="s">
        <v>455</v>
      </c>
      <c r="FZ61" s="59"/>
      <c r="GB61" s="59" t="s">
        <v>522</v>
      </c>
      <c r="GC61" s="475" t="s">
        <v>522</v>
      </c>
      <c r="GD61" s="60" t="s">
        <v>522</v>
      </c>
      <c r="GE61" s="60" t="s">
        <v>522</v>
      </c>
      <c r="GF61" s="60" t="s">
        <v>522</v>
      </c>
      <c r="GG61" s="60" t="s">
        <v>522</v>
      </c>
      <c r="GI61" s="59" t="s">
        <v>514</v>
      </c>
      <c r="GJ61" s="59" t="s">
        <v>549</v>
      </c>
      <c r="GK61" s="59" t="s">
        <v>647</v>
      </c>
      <c r="GL61" s="59" t="s">
        <v>586</v>
      </c>
      <c r="GM61" s="59">
        <v>1981</v>
      </c>
      <c r="GN61" s="59" t="s">
        <v>470</v>
      </c>
      <c r="GO61" s="59" t="s">
        <v>513</v>
      </c>
      <c r="GP61" s="59" t="s">
        <v>603</v>
      </c>
    </row>
    <row r="62" spans="1:198" ht="15.6" x14ac:dyDescent="0.3">
      <c r="A62" s="62" t="s">
        <v>31</v>
      </c>
      <c r="B62" s="223"/>
      <c r="C62" s="63" t="str">
        <f>C61</f>
        <v>Gaffel</v>
      </c>
      <c r="D62" s="63"/>
      <c r="E62" s="63"/>
      <c r="F62" s="63"/>
      <c r="G62" s="56"/>
      <c r="H62" s="209">
        <f>TBFavrundet</f>
        <v>98</v>
      </c>
      <c r="I62" s="65">
        <f>COUNTA(O62:AD62)</f>
        <v>4</v>
      </c>
      <c r="J62" s="228">
        <f>SUM(O62:AD62)</f>
        <v>97.2</v>
      </c>
      <c r="K62" s="119">
        <f>Seilareal/Depl^0.667/K$7</f>
        <v>1.3983683875598316</v>
      </c>
      <c r="L62" s="119">
        <f>Seilareal/Lwl/Lwl/L$7</f>
        <v>1.4175647171620327</v>
      </c>
      <c r="M62" s="95">
        <f>RiggF</f>
        <v>0.81430041152263366</v>
      </c>
      <c r="N62" s="265">
        <f>StHfaktor</f>
        <v>1.012322859432051</v>
      </c>
      <c r="O62" s="147"/>
      <c r="P62" s="147"/>
      <c r="Q62" s="88">
        <f t="shared" ref="Q62:Q63" si="640">Q61</f>
        <v>27.8</v>
      </c>
      <c r="R62" s="147"/>
      <c r="S62" s="147"/>
      <c r="T62" s="88">
        <f t="shared" ref="T62:U63" si="641">T61</f>
        <v>16.5</v>
      </c>
      <c r="U62" s="88">
        <f t="shared" si="641"/>
        <v>44.5</v>
      </c>
      <c r="V62" s="147"/>
      <c r="W62" s="147"/>
      <c r="X62" s="147"/>
      <c r="Y62" s="88">
        <f t="shared" ref="Y62" si="642">Y61</f>
        <v>8.4</v>
      </c>
      <c r="Z62" s="147"/>
      <c r="AA62" s="147"/>
      <c r="AB62" s="147"/>
      <c r="AC62" s="147"/>
      <c r="AD62" s="147"/>
      <c r="AE62" s="260">
        <f t="shared" ref="AE62:AE64" si="643">AE61</f>
        <v>11.25</v>
      </c>
      <c r="AF62" s="375">
        <f t="shared" ref="AF62:AH64" si="644" xml:space="preserve"> AF61</f>
        <v>0</v>
      </c>
      <c r="AG62" s="377"/>
      <c r="AH62" s="375">
        <f t="shared" si="644"/>
        <v>0</v>
      </c>
      <c r="AI62" s="377"/>
      <c r="AJ62" s="295" t="str">
        <f t="shared" ref="AJ62:AJ64" si="645" xml:space="preserve"> AJ61</f>
        <v>Lystb</v>
      </c>
      <c r="AK62" s="47">
        <f>VLOOKUP(AJ62,Skrogform!$1:$1048576,3,FALSE)</f>
        <v>0.98</v>
      </c>
      <c r="AL62" s="66">
        <f t="shared" ref="AL62:AT62" si="646">AL61</f>
        <v>12.4</v>
      </c>
      <c r="AM62" s="66">
        <f t="shared" si="646"/>
        <v>10.199999999999999</v>
      </c>
      <c r="AN62" s="66">
        <f t="shared" si="646"/>
        <v>3.6</v>
      </c>
      <c r="AO62" s="66">
        <f t="shared" si="646"/>
        <v>1.8</v>
      </c>
      <c r="AP62" s="66">
        <f t="shared" si="646"/>
        <v>16</v>
      </c>
      <c r="AQ62" s="66">
        <f t="shared" si="646"/>
        <v>5</v>
      </c>
      <c r="AR62" s="66">
        <f t="shared" si="646"/>
        <v>1</v>
      </c>
      <c r="AS62" s="284">
        <f t="shared" si="646"/>
        <v>65</v>
      </c>
      <c r="AT62" s="284">
        <f t="shared" si="646"/>
        <v>455</v>
      </c>
      <c r="AU62" s="284">
        <f t="shared" ref="AU62:AV62" si="647">AU61</f>
        <v>250</v>
      </c>
      <c r="AV62" s="284">
        <f t="shared" si="647"/>
        <v>100</v>
      </c>
      <c r="AW62" s="284"/>
      <c r="AX62" s="284">
        <f>AX61</f>
        <v>0</v>
      </c>
      <c r="AY62" s="68"/>
      <c r="AZ62" s="68"/>
      <c r="BA62" s="289"/>
      <c r="BB62" s="68"/>
      <c r="BC62" s="179"/>
      <c r="BD62" s="68"/>
      <c r="BE62" s="68"/>
      <c r="BF62" s="67" t="str">
        <f t="shared" ref="BF62:BH62" si="648" xml:space="preserve"> BF61</f>
        <v>Fast</v>
      </c>
      <c r="BG62" s="295">
        <f t="shared" si="648"/>
        <v>3</v>
      </c>
      <c r="BH62" s="295">
        <f t="shared" si="648"/>
        <v>40</v>
      </c>
      <c r="BI62" s="47">
        <f t="shared" si="464"/>
        <v>0.98861021875730792</v>
      </c>
      <c r="BJ62" s="61"/>
      <c r="BK62" s="61"/>
      <c r="BM62" s="51">
        <f t="shared" ref="BM62:BQ64" si="649">IF(O62=0,0,O62*BM$9)</f>
        <v>0</v>
      </c>
      <c r="BN62" s="51">
        <f t="shared" si="649"/>
        <v>0</v>
      </c>
      <c r="BO62" s="51">
        <f t="shared" si="649"/>
        <v>27.8</v>
      </c>
      <c r="BP62" s="51">
        <f t="shared" si="649"/>
        <v>0</v>
      </c>
      <c r="BQ62" s="51">
        <f t="shared" si="649"/>
        <v>0</v>
      </c>
      <c r="BR62" s="51">
        <f>IF(T62=0,0,T62*BR$9)</f>
        <v>16.5</v>
      </c>
      <c r="BS62" s="52">
        <f>IF(COUNT(P62:T62)&gt;1,MINA(P62:T62)*BS$9,0)</f>
        <v>-4.95</v>
      </c>
      <c r="BT62" s="88">
        <f t="shared" ref="BT62:CC64" si="650">IF(U62=0,0,U62*BT$9)</f>
        <v>35.6</v>
      </c>
      <c r="BU62" s="88">
        <f t="shared" si="650"/>
        <v>0</v>
      </c>
      <c r="BV62" s="88">
        <f t="shared" si="650"/>
        <v>0</v>
      </c>
      <c r="BW62" s="88">
        <f t="shared" si="650"/>
        <v>0</v>
      </c>
      <c r="BX62" s="88">
        <f t="shared" si="650"/>
        <v>4.2</v>
      </c>
      <c r="BY62" s="88">
        <f t="shared" si="650"/>
        <v>0</v>
      </c>
      <c r="BZ62" s="88">
        <f t="shared" si="650"/>
        <v>0</v>
      </c>
      <c r="CA62" s="88">
        <f t="shared" si="650"/>
        <v>0</v>
      </c>
      <c r="CB62" s="88">
        <f t="shared" si="650"/>
        <v>0</v>
      </c>
      <c r="CC62" s="88">
        <f t="shared" si="650"/>
        <v>0</v>
      </c>
      <c r="CD62" s="103">
        <f>SUM(BM62:CC62)</f>
        <v>79.149999999999991</v>
      </c>
      <c r="CE62" s="52"/>
      <c r="CF62" s="107">
        <f>J62</f>
        <v>97.2</v>
      </c>
      <c r="CG62" s="104">
        <f>CD62/CF62</f>
        <v>0.81430041152263366</v>
      </c>
      <c r="CH62" s="53">
        <f>Seilareal/Lwl/Lwl</f>
        <v>0.93425605536332201</v>
      </c>
      <c r="CI62" s="119">
        <f>Seilareal/Depl^0.667/K$7</f>
        <v>1.3983683875598316</v>
      </c>
      <c r="CJ62" s="53">
        <f>Seilareal/Lwl/Lwl/SApRS1</f>
        <v>1.4175647171620327</v>
      </c>
      <c r="CK62" s="209"/>
      <c r="CL62" s="209">
        <f>(ROUND(TBF/CL$6,3)*CL$6)*CL$4</f>
        <v>98</v>
      </c>
      <c r="CM62" s="110">
        <f t="shared" si="234"/>
        <v>0.97857475802235128</v>
      </c>
      <c r="CN62" s="64">
        <f>IF(SeilBeregnet=0,"-",(SeilBeregnet)^(1/2)*StHfaktor/(Depl+DeplTillegg/1000+Vann/1000+Diesel/1000*0.84)^(1/3))</f>
        <v>3.535236932771348</v>
      </c>
      <c r="CO62" s="64">
        <f t="shared" si="203"/>
        <v>1.7716909687891083</v>
      </c>
      <c r="CP62" s="64">
        <f t="shared" si="204"/>
        <v>1.7871048890689831</v>
      </c>
      <c r="CQ62" s="110">
        <f t="shared" si="205"/>
        <v>1.012322859432051</v>
      </c>
      <c r="CR62" s="172" t="str">
        <f t="shared" si="390"/>
        <v>-</v>
      </c>
      <c r="CS62" s="163">
        <f>CS61</f>
        <v>0</v>
      </c>
      <c r="CT62" s="172">
        <f t="shared" si="391"/>
        <v>0.91859649122807019</v>
      </c>
      <c r="CU62" s="163">
        <f>CU61</f>
        <v>1.19</v>
      </c>
      <c r="CV62" s="195" t="s">
        <v>145</v>
      </c>
      <c r="CW62" s="64" t="s">
        <v>111</v>
      </c>
      <c r="CX62" s="64" t="s">
        <v>111</v>
      </c>
      <c r="CY62" s="64" t="s">
        <v>111</v>
      </c>
      <c r="CZ62" s="154" t="s">
        <v>111</v>
      </c>
      <c r="DA62" s="64">
        <f t="shared" si="392"/>
        <v>2.0076789184200643</v>
      </c>
      <c r="DB62" s="49">
        <f t="shared" si="393"/>
        <v>12.162162162162163</v>
      </c>
      <c r="DC62" s="50">
        <f t="shared" si="394"/>
        <v>0</v>
      </c>
      <c r="DE62" s="110">
        <f>IF(SeilBeregnet=0,"-",DE$7*(DG:DG+DE$6)*DL:DL*PropF+ErfaringsF+Dyp_F)</f>
        <v>0.96124387170495185</v>
      </c>
      <c r="DF62" s="144" t="str">
        <f t="shared" si="633"/>
        <v>-</v>
      </c>
      <c r="DG62" s="110">
        <f t="shared" si="395"/>
        <v>5.3868771584940518</v>
      </c>
      <c r="DH62" s="136">
        <f t="shared" si="409"/>
        <v>3.5309557042173783</v>
      </c>
      <c r="DI62" s="136">
        <f t="shared" si="410"/>
        <v>0</v>
      </c>
      <c r="DJ62" s="136">
        <f t="shared" si="411"/>
        <v>0</v>
      </c>
      <c r="DK62" s="136">
        <f t="shared" si="412"/>
        <v>1.855921454276674</v>
      </c>
      <c r="DL62" s="110">
        <f t="shared" si="413"/>
        <v>1.7871048890689831</v>
      </c>
      <c r="DM62" s="136">
        <f t="shared" si="414"/>
        <v>1.9050019050028575</v>
      </c>
      <c r="DO62" s="110">
        <f t="shared" si="344"/>
        <v>0.99854567145137874</v>
      </c>
      <c r="DP62" s="110">
        <f t="shared" si="396"/>
        <v>0.98598784838127751</v>
      </c>
      <c r="DR62" s="110">
        <f t="shared" si="397"/>
        <v>0.9727736979752043</v>
      </c>
      <c r="DS62" s="125" t="str">
        <f t="shared" si="634"/>
        <v>-</v>
      </c>
      <c r="DT62" s="110">
        <f t="shared" si="398"/>
        <v>0.97642195771632223</v>
      </c>
      <c r="DU62" s="125" t="str">
        <f t="shared" si="635"/>
        <v>-</v>
      </c>
      <c r="DV62" s="110">
        <f t="shared" si="214"/>
        <v>3.5306620197926115</v>
      </c>
      <c r="DW62" s="110">
        <f t="shared" si="215"/>
        <v>2.1685350061166324</v>
      </c>
      <c r="DX62" s="110">
        <f t="shared" si="417"/>
        <v>1.582892730539718</v>
      </c>
      <c r="DZ62" s="110">
        <f t="shared" si="399"/>
        <v>0.97200670205221085</v>
      </c>
      <c r="EB62" s="110">
        <f t="shared" si="217"/>
        <v>3.5306620197926115</v>
      </c>
      <c r="EC62" s="110">
        <f t="shared" si="419"/>
        <v>2.1686860967520136</v>
      </c>
      <c r="ED62" s="110">
        <f t="shared" si="420"/>
        <v>1.8446276715143175</v>
      </c>
      <c r="EE62" s="110">
        <f t="shared" si="400"/>
        <v>0.96523577771389812</v>
      </c>
      <c r="EG62" s="110">
        <f t="shared" si="421"/>
        <v>5.5886592451224031</v>
      </c>
      <c r="EH62" s="110">
        <f t="shared" si="219"/>
        <v>3.5306620197926115</v>
      </c>
      <c r="EI62" s="110">
        <f t="shared" si="423"/>
        <v>1.582892730539718</v>
      </c>
      <c r="EJ62" s="110">
        <f t="shared" si="424"/>
        <v>1.7871048890689831</v>
      </c>
      <c r="EK62" s="110">
        <f>IF(SeilBeregnet=0,"-",EK$7*(EK$4*EM:EM+EK$6)*EP:EP*PropF+ErfaringsF+Dyp_F)</f>
        <v>0.96832062951214459</v>
      </c>
      <c r="EM62" s="110">
        <f>IF(SeilBeregnet=0,EM61,(EN:EN*EO:EO)^EM$3)</f>
        <v>1.8896653901294636</v>
      </c>
      <c r="EN62" s="110">
        <f t="shared" si="220"/>
        <v>3.5306620197926115</v>
      </c>
      <c r="EO62" s="110">
        <f t="shared" si="426"/>
        <v>1.011378394939906</v>
      </c>
      <c r="EP62" s="110">
        <f t="shared" si="427"/>
        <v>1.8153378227362575</v>
      </c>
      <c r="EQ62" s="110">
        <f>IF(SeilBeregnet=0,"-",EQ$7*(ES:ES+EQ$6)*EV:EV*PropF+ErfaringsF+Dyp_F)</f>
        <v>0.92803313959617295</v>
      </c>
      <c r="ES62" s="110">
        <f>(ET:ET*EU:EU)^ES$3</f>
        <v>1.8897439807379406</v>
      </c>
      <c r="ET62" s="110">
        <f t="shared" si="221"/>
        <v>3.5309557042173783</v>
      </c>
      <c r="EU62" s="110">
        <f t="shared" si="429"/>
        <v>1.011378394939906</v>
      </c>
      <c r="EV62" s="110">
        <f t="shared" si="430"/>
        <v>1.8153378227362575</v>
      </c>
      <c r="EW62" s="110">
        <f>IF(SeilBeregnet=0,"-",EW$7*(EY:EY+EW$6)*FB:FB*PropF+ErfaringsF+Dyp_F)</f>
        <v>0.96845226800900119</v>
      </c>
      <c r="EX62" s="144" t="str">
        <f t="shared" si="636"/>
        <v>-</v>
      </c>
      <c r="EY62" s="110">
        <f>(EZ:EZ*FA:FA)^EY$3</f>
        <v>3.6117660665722395</v>
      </c>
      <c r="EZ62" s="136">
        <f t="shared" si="431"/>
        <v>3.5309557042173783</v>
      </c>
      <c r="FA62" s="136">
        <f t="shared" si="432"/>
        <v>1.0228862577512206</v>
      </c>
      <c r="FB62" s="110">
        <f t="shared" si="433"/>
        <v>1.0208394769056701</v>
      </c>
      <c r="FC62" s="110">
        <f>IF(SeilBeregnet=0,"-",FC$7*(FE:FE+FC$6)*FI:FI*PropF+ErfaringsF+Dyp_F)</f>
        <v>0.97678878024080618</v>
      </c>
      <c r="FD62" s="144" t="str">
        <f t="shared" si="637"/>
        <v>-</v>
      </c>
      <c r="FE62" s="110">
        <f>(FF:FF+FG:FG+FH:FH)^FE$3+FE$7</f>
        <v>5.7590956462308487</v>
      </c>
      <c r="FF62" s="136">
        <f t="shared" si="434"/>
        <v>3.5309557042173783</v>
      </c>
      <c r="FG62" s="136">
        <f t="shared" si="435"/>
        <v>0.87221848773679722</v>
      </c>
      <c r="FH62" s="136">
        <f t="shared" si="436"/>
        <v>1.855921454276674</v>
      </c>
      <c r="FI62" s="110">
        <f t="shared" si="437"/>
        <v>1.7871048890689831</v>
      </c>
      <c r="FJ62" s="110">
        <f>IF(SeilBeregnet=0,"-",FJ$7*(FL:FL+FJ$6)*FO:FO*PropF+ErfaringsF+Dyp_F)</f>
        <v>0.96953095846663451</v>
      </c>
      <c r="FK62" s="144" t="str">
        <f t="shared" si="638"/>
        <v>-</v>
      </c>
      <c r="FL62" s="110">
        <f>(FM:FM*FN:FN)^FL$3</f>
        <v>6.553176445557634</v>
      </c>
      <c r="FM62" s="136">
        <f t="shared" si="438"/>
        <v>3.5309557042173783</v>
      </c>
      <c r="FN62" s="136">
        <f t="shared" si="439"/>
        <v>1.855921454276674</v>
      </c>
      <c r="FO62" s="110">
        <f t="shared" si="440"/>
        <v>1.7871048890689831</v>
      </c>
      <c r="FQ62">
        <v>0.95</v>
      </c>
      <c r="FR62" s="64">
        <f t="shared" si="639"/>
        <v>1.1578386889902166</v>
      </c>
      <c r="FS62" s="479"/>
      <c r="FT62" s="18"/>
      <c r="FU62" s="481"/>
      <c r="FV62" s="504"/>
      <c r="FW62" s="18"/>
      <c r="FX62" s="18"/>
      <c r="FY62" s="18"/>
      <c r="FZ62" s="18"/>
      <c r="GB62" s="18"/>
      <c r="GC62" s="481"/>
      <c r="GD62" s="8"/>
      <c r="GE62" s="8"/>
      <c r="GF62" s="8"/>
      <c r="GG62" s="8"/>
      <c r="GI62" s="18"/>
      <c r="GJ62" s="18"/>
      <c r="GK62" s="18"/>
      <c r="GL62" s="18"/>
      <c r="GM62" s="18"/>
      <c r="GN62" s="18"/>
      <c r="GO62" s="18"/>
      <c r="GP62" s="18"/>
    </row>
    <row r="63" spans="1:198" ht="15.6" x14ac:dyDescent="0.3">
      <c r="A63" s="62" t="s">
        <v>32</v>
      </c>
      <c r="B63" s="223"/>
      <c r="C63" s="63" t="str">
        <f t="shared" ref="C63:C64" si="651">C62</f>
        <v>Gaffel</v>
      </c>
      <c r="D63" s="63"/>
      <c r="E63" s="63"/>
      <c r="F63" s="63"/>
      <c r="G63" s="56"/>
      <c r="H63" s="209">
        <f>TBFavrundet</f>
        <v>96</v>
      </c>
      <c r="I63" s="65">
        <f>COUNTA(O63:AD63)</f>
        <v>3</v>
      </c>
      <c r="J63" s="228">
        <f>SUM(O63:AD63)</f>
        <v>88.8</v>
      </c>
      <c r="K63" s="119">
        <f>Seilareal/Depl^0.667/K$7</f>
        <v>1.2775217367830558</v>
      </c>
      <c r="L63" s="119">
        <f>Seilareal/Lwl/Lwl/L$7</f>
        <v>1.2950591243208693</v>
      </c>
      <c r="M63" s="95">
        <f>RiggF</f>
        <v>0.84403153153153143</v>
      </c>
      <c r="N63" s="265">
        <f>StHfaktor</f>
        <v>1.012322859432051</v>
      </c>
      <c r="O63" s="147"/>
      <c r="P63" s="147"/>
      <c r="Q63" s="88">
        <f t="shared" si="640"/>
        <v>27.8</v>
      </c>
      <c r="R63" s="147"/>
      <c r="S63" s="147"/>
      <c r="T63" s="88">
        <f t="shared" si="641"/>
        <v>16.5</v>
      </c>
      <c r="U63" s="88">
        <f t="shared" si="641"/>
        <v>44.5</v>
      </c>
      <c r="V63" s="147"/>
      <c r="W63" s="147"/>
      <c r="X63" s="147"/>
      <c r="Y63" s="147"/>
      <c r="Z63" s="147"/>
      <c r="AA63" s="147"/>
      <c r="AB63" s="147"/>
      <c r="AC63" s="147"/>
      <c r="AD63" s="147"/>
      <c r="AE63" s="260">
        <f t="shared" si="643"/>
        <v>11.25</v>
      </c>
      <c r="AF63" s="375">
        <f t="shared" si="644"/>
        <v>0</v>
      </c>
      <c r="AG63" s="377"/>
      <c r="AH63" s="375">
        <f t="shared" si="644"/>
        <v>0</v>
      </c>
      <c r="AI63" s="377"/>
      <c r="AJ63" s="295" t="str">
        <f t="shared" si="645"/>
        <v>Lystb</v>
      </c>
      <c r="AK63" s="47">
        <f>VLOOKUP(AJ63,Skrogform!$1:$1048576,3,FALSE)</f>
        <v>0.98</v>
      </c>
      <c r="AL63" s="66">
        <f t="shared" ref="AL63:AT63" si="652">AL62</f>
        <v>12.4</v>
      </c>
      <c r="AM63" s="66">
        <f t="shared" si="652"/>
        <v>10.199999999999999</v>
      </c>
      <c r="AN63" s="66">
        <f t="shared" si="652"/>
        <v>3.6</v>
      </c>
      <c r="AO63" s="66">
        <f t="shared" si="652"/>
        <v>1.8</v>
      </c>
      <c r="AP63" s="66">
        <f t="shared" si="652"/>
        <v>16</v>
      </c>
      <c r="AQ63" s="66">
        <f t="shared" si="652"/>
        <v>5</v>
      </c>
      <c r="AR63" s="66">
        <f t="shared" si="652"/>
        <v>1</v>
      </c>
      <c r="AS63" s="284">
        <f t="shared" si="652"/>
        <v>65</v>
      </c>
      <c r="AT63" s="284">
        <f t="shared" si="652"/>
        <v>455</v>
      </c>
      <c r="AU63" s="284">
        <f t="shared" ref="AU63:AV63" si="653">AU62</f>
        <v>250</v>
      </c>
      <c r="AV63" s="284">
        <f t="shared" si="653"/>
        <v>100</v>
      </c>
      <c r="AW63" s="284"/>
      <c r="AX63" s="284">
        <f>AX62</f>
        <v>0</v>
      </c>
      <c r="AY63" s="68"/>
      <c r="AZ63" s="68"/>
      <c r="BA63" s="289"/>
      <c r="BB63" s="68"/>
      <c r="BC63" s="179"/>
      <c r="BD63" s="68"/>
      <c r="BE63" s="68"/>
      <c r="BF63" s="67" t="str">
        <f t="shared" ref="BF63:BH63" si="654" xml:space="preserve"> BF62</f>
        <v>Fast</v>
      </c>
      <c r="BG63" s="295">
        <f t="shared" si="654"/>
        <v>3</v>
      </c>
      <c r="BH63" s="295">
        <f t="shared" si="654"/>
        <v>40</v>
      </c>
      <c r="BI63" s="47">
        <f t="shared" si="464"/>
        <v>0.98861021875730792</v>
      </c>
      <c r="BJ63" s="61"/>
      <c r="BK63" s="61"/>
      <c r="BM63" s="51">
        <f t="shared" si="649"/>
        <v>0</v>
      </c>
      <c r="BN63" s="51">
        <f t="shared" si="649"/>
        <v>0</v>
      </c>
      <c r="BO63" s="51">
        <f t="shared" si="649"/>
        <v>27.8</v>
      </c>
      <c r="BP63" s="51">
        <f t="shared" si="649"/>
        <v>0</v>
      </c>
      <c r="BQ63" s="51">
        <f t="shared" si="649"/>
        <v>0</v>
      </c>
      <c r="BR63" s="51">
        <f>IF(T63=0,0,T63*BR$9)</f>
        <v>16.5</v>
      </c>
      <c r="BS63" s="52">
        <f>IF(COUNT(P63:T63)&gt;1,MINA(P63:T63)*BS$9,0)</f>
        <v>-4.95</v>
      </c>
      <c r="BT63" s="88">
        <f t="shared" si="650"/>
        <v>35.6</v>
      </c>
      <c r="BU63" s="88">
        <f t="shared" si="650"/>
        <v>0</v>
      </c>
      <c r="BV63" s="88">
        <f t="shared" si="650"/>
        <v>0</v>
      </c>
      <c r="BW63" s="88">
        <f t="shared" si="650"/>
        <v>0</v>
      </c>
      <c r="BX63" s="88">
        <f t="shared" si="650"/>
        <v>0</v>
      </c>
      <c r="BY63" s="88">
        <f t="shared" si="650"/>
        <v>0</v>
      </c>
      <c r="BZ63" s="88">
        <f t="shared" si="650"/>
        <v>0</v>
      </c>
      <c r="CA63" s="88">
        <f t="shared" si="650"/>
        <v>0</v>
      </c>
      <c r="CB63" s="88">
        <f t="shared" si="650"/>
        <v>0</v>
      </c>
      <c r="CC63" s="88">
        <f t="shared" si="650"/>
        <v>0</v>
      </c>
      <c r="CD63" s="103">
        <f>SUM(BM63:CC63)</f>
        <v>74.949999999999989</v>
      </c>
      <c r="CE63" s="52"/>
      <c r="CF63" s="107">
        <f>J63</f>
        <v>88.8</v>
      </c>
      <c r="CG63" s="104">
        <f>CD63/CF63</f>
        <v>0.84403153153153143</v>
      </c>
      <c r="CH63" s="53">
        <f>Seilareal/Lwl/Lwl</f>
        <v>0.85351787773933119</v>
      </c>
      <c r="CI63" s="119">
        <f>Seilareal/Depl^0.667/K$7</f>
        <v>1.2775217367830558</v>
      </c>
      <c r="CJ63" s="53">
        <f>Seilareal/Lwl/Lwl/SApRS1</f>
        <v>1.2950591243208693</v>
      </c>
      <c r="CK63" s="209"/>
      <c r="CL63" s="209">
        <f>(ROUND(TBF/CL$6,3)*CL$6)*CL$4</f>
        <v>96</v>
      </c>
      <c r="CM63" s="110">
        <f t="shared" si="234"/>
        <v>0.96104333381903728</v>
      </c>
      <c r="CN63" s="64">
        <f>IF(SeilBeregnet=0,"-",(SeilBeregnet)^(1/2)*StHfaktor/(Depl+DeplTillegg/1000+Vann/1000+Diesel/1000*0.84)^(1/3))</f>
        <v>3.4401619234315577</v>
      </c>
      <c r="CO63" s="64">
        <f t="shared" si="203"/>
        <v>1.7716909687891083</v>
      </c>
      <c r="CP63" s="64">
        <f t="shared" si="204"/>
        <v>1.7871048890689831</v>
      </c>
      <c r="CQ63" s="110">
        <f t="shared" si="205"/>
        <v>1.012322859432051</v>
      </c>
      <c r="CR63" s="172" t="str">
        <f t="shared" si="390"/>
        <v>-</v>
      </c>
      <c r="CS63" s="162"/>
      <c r="CT63" s="172" t="str">
        <f t="shared" si="391"/>
        <v>-</v>
      </c>
      <c r="CU63" s="164"/>
      <c r="CV63" s="195" t="s">
        <v>145</v>
      </c>
      <c r="CW63" s="64" t="s">
        <v>111</v>
      </c>
      <c r="CX63" s="64" t="s">
        <v>111</v>
      </c>
      <c r="CY63" s="64" t="s">
        <v>111</v>
      </c>
      <c r="CZ63" s="154" t="s">
        <v>111</v>
      </c>
      <c r="DA63" s="64">
        <f t="shared" si="392"/>
        <v>2.0076789184200643</v>
      </c>
      <c r="DB63" s="49">
        <f t="shared" si="393"/>
        <v>12.162162162162163</v>
      </c>
      <c r="DC63" s="50">
        <f t="shared" si="394"/>
        <v>0</v>
      </c>
      <c r="DE63" s="110">
        <f>IF(SeilBeregnet=0,"-",DE$7*(DG:DG+DE$6)*DL:DL*PropF+ErfaringsF+Dyp_F)</f>
        <v>0.94429906447925638</v>
      </c>
      <c r="DF63" s="144" t="str">
        <f t="shared" si="633"/>
        <v>-</v>
      </c>
      <c r="DG63" s="110">
        <f t="shared" si="395"/>
        <v>5.2919172865135096</v>
      </c>
      <c r="DH63" s="136">
        <f t="shared" si="409"/>
        <v>3.4359958322368356</v>
      </c>
      <c r="DI63" s="136">
        <f t="shared" si="410"/>
        <v>0</v>
      </c>
      <c r="DJ63" s="136">
        <f t="shared" si="411"/>
        <v>0</v>
      </c>
      <c r="DK63" s="136">
        <f t="shared" si="412"/>
        <v>1.855921454276674</v>
      </c>
      <c r="DL63" s="110">
        <f t="shared" si="413"/>
        <v>1.7871048890689831</v>
      </c>
      <c r="DM63" s="136">
        <f t="shared" si="414"/>
        <v>1.9050019050028575</v>
      </c>
      <c r="DO63" s="110">
        <f t="shared" si="344"/>
        <v>0.98065646308065035</v>
      </c>
      <c r="DP63" s="110">
        <f t="shared" si="396"/>
        <v>0.96477756005713478</v>
      </c>
      <c r="DR63" s="110">
        <f t="shared" si="397"/>
        <v>0.95564664465093208</v>
      </c>
      <c r="DS63" s="125" t="str">
        <f t="shared" si="634"/>
        <v>-</v>
      </c>
      <c r="DT63" s="110">
        <f t="shared" si="398"/>
        <v>0.95622971596921669</v>
      </c>
      <c r="DU63" s="125" t="str">
        <f t="shared" si="635"/>
        <v>-</v>
      </c>
      <c r="DV63" s="110">
        <f t="shared" si="214"/>
        <v>3.4357100460236905</v>
      </c>
      <c r="DW63" s="110">
        <f t="shared" si="215"/>
        <v>2.1685350061166324</v>
      </c>
      <c r="DX63" s="110">
        <f t="shared" si="417"/>
        <v>1.582892730539718</v>
      </c>
      <c r="DZ63" s="110">
        <f t="shared" si="399"/>
        <v>0.95372265116213384</v>
      </c>
      <c r="EB63" s="110">
        <f t="shared" si="217"/>
        <v>3.4357100460236905</v>
      </c>
      <c r="EC63" s="110">
        <f t="shared" si="419"/>
        <v>2.1686860967520136</v>
      </c>
      <c r="ED63" s="110">
        <f t="shared" si="420"/>
        <v>1.8446276715143175</v>
      </c>
      <c r="EE63" s="110">
        <f t="shared" si="400"/>
        <v>0.94611859721705005</v>
      </c>
      <c r="EG63" s="110">
        <f t="shared" si="421"/>
        <v>5.4383604560931795</v>
      </c>
      <c r="EH63" s="110">
        <f t="shared" si="219"/>
        <v>3.4357100460236905</v>
      </c>
      <c r="EI63" s="110">
        <f t="shared" si="423"/>
        <v>1.582892730539718</v>
      </c>
      <c r="EJ63" s="110">
        <f t="shared" si="424"/>
        <v>1.7871048890689831</v>
      </c>
      <c r="EK63" s="110">
        <f>IF(SeilBeregnet=0,"-",EK$7*(EK$4*EM:EM+EK$6)*EP:EP*PropF+ErfaringsF+Dyp_F)</f>
        <v>0.95049431637982074</v>
      </c>
      <c r="EM63" s="110">
        <f>IF(SeilBeregnet=0,EM62,(EN:EN*EO:EO)^EM$3)</f>
        <v>1.8640823243157345</v>
      </c>
      <c r="EN63" s="110">
        <f t="shared" si="220"/>
        <v>3.4357100460236905</v>
      </c>
      <c r="EO63" s="110">
        <f t="shared" si="426"/>
        <v>1.011378394939906</v>
      </c>
      <c r="EP63" s="110">
        <f t="shared" si="427"/>
        <v>1.8153378227362575</v>
      </c>
      <c r="EQ63" s="110">
        <f>IF(SeilBeregnet=0,"-",EQ$7*(ES:ES+EQ$6)*EV:EV*PropF+ErfaringsF+Dyp_F)</f>
        <v>0.91546904596794387</v>
      </c>
      <c r="ES63" s="110">
        <f>(ET:ET*EU:EU)^ES$3</f>
        <v>1.8641598509322899</v>
      </c>
      <c r="ET63" s="110">
        <f t="shared" si="221"/>
        <v>3.4359958322368356</v>
      </c>
      <c r="EU63" s="110">
        <f t="shared" si="429"/>
        <v>1.011378394939906</v>
      </c>
      <c r="EV63" s="110">
        <f t="shared" si="430"/>
        <v>1.8153378227362575</v>
      </c>
      <c r="EW63" s="110">
        <f>IF(SeilBeregnet=0,"-",EW$7*(EY:EY+EW$6)*FB:FB*PropF+ErfaringsF+Dyp_F)</f>
        <v>0.95168948487665128</v>
      </c>
      <c r="EX63" s="144" t="str">
        <f t="shared" si="636"/>
        <v>-</v>
      </c>
      <c r="EY63" s="110">
        <f>(EZ:EZ*FA:FA)^EY$3</f>
        <v>3.5146329184855274</v>
      </c>
      <c r="EZ63" s="136">
        <f t="shared" si="431"/>
        <v>3.4359958322368356</v>
      </c>
      <c r="FA63" s="136">
        <f t="shared" si="432"/>
        <v>1.0228862577512206</v>
      </c>
      <c r="FB63" s="110">
        <f t="shared" si="433"/>
        <v>1.0208394769056701</v>
      </c>
      <c r="FC63" s="110">
        <f>IF(SeilBeregnet=0,"-",FC$7*(FE:FE+FC$6)*FI:FI*PropF+ErfaringsF+Dyp_F)</f>
        <v>0.95670432350469392</v>
      </c>
      <c r="FD63" s="144" t="str">
        <f t="shared" si="637"/>
        <v>-</v>
      </c>
      <c r="FE63" s="110">
        <f>(FF:FF+FG:FG+FH:FH)^FE$3+FE$7</f>
        <v>5.6406787380049579</v>
      </c>
      <c r="FF63" s="136">
        <f t="shared" si="434"/>
        <v>3.4359958322368356</v>
      </c>
      <c r="FG63" s="136">
        <f t="shared" si="435"/>
        <v>0.84876145149144822</v>
      </c>
      <c r="FH63" s="136">
        <f t="shared" si="436"/>
        <v>1.855921454276674</v>
      </c>
      <c r="FI63" s="110">
        <f t="shared" si="437"/>
        <v>1.7871048890689831</v>
      </c>
      <c r="FJ63" s="110">
        <f>IF(SeilBeregnet=0,"-",FJ$7*(FL:FL+FJ$6)*FO:FO*PropF+ErfaringsF+Dyp_F)</f>
        <v>0.95333978989262458</v>
      </c>
      <c r="FK63" s="144" t="str">
        <f t="shared" si="638"/>
        <v>-</v>
      </c>
      <c r="FL63" s="110">
        <f>(FM:FM*FN:FN)^FL$3</f>
        <v>6.376938381853579</v>
      </c>
      <c r="FM63" s="136">
        <f t="shared" si="438"/>
        <v>3.4359958322368356</v>
      </c>
      <c r="FN63" s="136">
        <f t="shared" si="439"/>
        <v>1.855921454276674</v>
      </c>
      <c r="FO63" s="110">
        <f t="shared" si="440"/>
        <v>1.7871048890689831</v>
      </c>
      <c r="FQ63">
        <v>0.95</v>
      </c>
      <c r="FR63" s="64">
        <f t="shared" si="639"/>
        <v>1.1427612347685467</v>
      </c>
      <c r="FS63" s="479"/>
      <c r="FT63" s="18"/>
      <c r="FU63" s="481"/>
      <c r="FV63" s="504"/>
      <c r="FW63" s="18"/>
      <c r="FX63" s="18"/>
      <c r="FY63" s="18"/>
      <c r="FZ63" s="18"/>
      <c r="GB63" s="18"/>
      <c r="GC63" s="481"/>
      <c r="GD63" s="8"/>
      <c r="GE63" s="8"/>
      <c r="GF63" s="8"/>
      <c r="GG63" s="8"/>
      <c r="GI63" s="18"/>
      <c r="GJ63" s="18"/>
      <c r="GK63" s="18"/>
      <c r="GL63" s="18"/>
      <c r="GM63" s="18"/>
      <c r="GN63" s="18"/>
      <c r="GO63" s="18"/>
      <c r="GP63" s="18"/>
    </row>
    <row r="64" spans="1:198" ht="15.6" x14ac:dyDescent="0.3">
      <c r="A64" s="62" t="s">
        <v>33</v>
      </c>
      <c r="B64" s="223"/>
      <c r="C64" s="63" t="str">
        <f t="shared" si="651"/>
        <v>Gaffel</v>
      </c>
      <c r="D64" s="63"/>
      <c r="E64" s="63"/>
      <c r="F64" s="63"/>
      <c r="G64" s="56"/>
      <c r="H64" s="209" t="e">
        <f>TBFavrundet</f>
        <v>#VALUE!</v>
      </c>
      <c r="I64" s="65">
        <f>COUNTA(O64:AD64)</f>
        <v>0</v>
      </c>
      <c r="J64" s="228">
        <f>SUM(O64:AD64)</f>
        <v>0</v>
      </c>
      <c r="K64" s="119">
        <f>Seilareal/Depl^0.667/K$7</f>
        <v>0</v>
      </c>
      <c r="L64" s="119">
        <f>Seilareal/Lwl/Lwl/L$7</f>
        <v>0</v>
      </c>
      <c r="M64" s="95" t="e">
        <f>RiggF</f>
        <v>#DIV/0!</v>
      </c>
      <c r="N64" s="265" t="str">
        <f>StHfaktor</f>
        <v>-</v>
      </c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260">
        <f t="shared" si="643"/>
        <v>11.25</v>
      </c>
      <c r="AF64" s="375">
        <f t="shared" si="644"/>
        <v>0</v>
      </c>
      <c r="AG64" s="377"/>
      <c r="AH64" s="375">
        <f t="shared" si="644"/>
        <v>0</v>
      </c>
      <c r="AI64" s="377"/>
      <c r="AJ64" s="295" t="str">
        <f t="shared" si="645"/>
        <v>Lystb</v>
      </c>
      <c r="AK64" s="47">
        <f>VLOOKUP(AJ64,Skrogform!$1:$1048576,3,FALSE)</f>
        <v>0.98</v>
      </c>
      <c r="AL64" s="66">
        <f t="shared" ref="AL64:AT64" si="655">AL63</f>
        <v>12.4</v>
      </c>
      <c r="AM64" s="66">
        <f t="shared" si="655"/>
        <v>10.199999999999999</v>
      </c>
      <c r="AN64" s="66">
        <f t="shared" si="655"/>
        <v>3.6</v>
      </c>
      <c r="AO64" s="66">
        <f t="shared" si="655"/>
        <v>1.8</v>
      </c>
      <c r="AP64" s="66">
        <f t="shared" si="655"/>
        <v>16</v>
      </c>
      <c r="AQ64" s="66">
        <f t="shared" si="655"/>
        <v>5</v>
      </c>
      <c r="AR64" s="66">
        <f t="shared" si="655"/>
        <v>1</v>
      </c>
      <c r="AS64" s="284">
        <f t="shared" si="655"/>
        <v>65</v>
      </c>
      <c r="AT64" s="284">
        <f t="shared" si="655"/>
        <v>455</v>
      </c>
      <c r="AU64" s="284">
        <f t="shared" ref="AU64:AV64" si="656">AU63</f>
        <v>250</v>
      </c>
      <c r="AV64" s="284">
        <f t="shared" si="656"/>
        <v>100</v>
      </c>
      <c r="AW64" s="284"/>
      <c r="AX64" s="284">
        <f>AX63</f>
        <v>0</v>
      </c>
      <c r="AY64" s="68"/>
      <c r="AZ64" s="68"/>
      <c r="BA64" s="289"/>
      <c r="BB64" s="68"/>
      <c r="BC64" s="179"/>
      <c r="BD64" s="68"/>
      <c r="BE64" s="68"/>
      <c r="BF64" s="67" t="str">
        <f t="shared" ref="BF64:BH64" si="657" xml:space="preserve"> BF63</f>
        <v>Fast</v>
      </c>
      <c r="BG64" s="295">
        <f t="shared" si="657"/>
        <v>3</v>
      </c>
      <c r="BH64" s="295">
        <f t="shared" si="657"/>
        <v>40</v>
      </c>
      <c r="BI64" s="47">
        <f t="shared" ref="BI64" si="658">IF((BF64="Fast"),(1.006248-(0.06415*((BH64/100*SQRT(BG64))/POWER(AP64,(1/3))))),1)</f>
        <v>0.98861021875730792</v>
      </c>
      <c r="BJ64" s="61"/>
      <c r="BK64" s="61"/>
      <c r="BM64" s="51">
        <f t="shared" si="649"/>
        <v>0</v>
      </c>
      <c r="BN64" s="51">
        <f t="shared" si="649"/>
        <v>0</v>
      </c>
      <c r="BO64" s="51">
        <f t="shared" si="649"/>
        <v>0</v>
      </c>
      <c r="BP64" s="51">
        <f t="shared" si="649"/>
        <v>0</v>
      </c>
      <c r="BQ64" s="51">
        <f t="shared" si="649"/>
        <v>0</v>
      </c>
      <c r="BR64" s="51">
        <f>IF(T64=0,0,T64*BR$9)</f>
        <v>0</v>
      </c>
      <c r="BS64" s="52">
        <f>IF(COUNT(P64:T64)&gt;1,MINA(P64:T64)*BS$9,0)</f>
        <v>0</v>
      </c>
      <c r="BT64" s="88">
        <f t="shared" si="650"/>
        <v>0</v>
      </c>
      <c r="BU64" s="88">
        <f t="shared" si="650"/>
        <v>0</v>
      </c>
      <c r="BV64" s="88">
        <f t="shared" si="650"/>
        <v>0</v>
      </c>
      <c r="BW64" s="88">
        <f t="shared" si="650"/>
        <v>0</v>
      </c>
      <c r="BX64" s="88">
        <f t="shared" si="650"/>
        <v>0</v>
      </c>
      <c r="BY64" s="88">
        <f t="shared" si="650"/>
        <v>0</v>
      </c>
      <c r="BZ64" s="88">
        <f t="shared" si="650"/>
        <v>0</v>
      </c>
      <c r="CA64" s="88">
        <f t="shared" si="650"/>
        <v>0</v>
      </c>
      <c r="CB64" s="88">
        <f t="shared" si="650"/>
        <v>0</v>
      </c>
      <c r="CC64" s="88">
        <f t="shared" si="650"/>
        <v>0</v>
      </c>
      <c r="CD64" s="103">
        <f>SUM(BM64:CC64)</f>
        <v>0</v>
      </c>
      <c r="CE64" s="52"/>
      <c r="CF64" s="107">
        <f>J64</f>
        <v>0</v>
      </c>
      <c r="CG64" s="104" t="e">
        <f>CD64/CF64</f>
        <v>#DIV/0!</v>
      </c>
      <c r="CH64" s="53">
        <f>Seilareal/Lwl/Lwl</f>
        <v>0</v>
      </c>
      <c r="CI64" s="119">
        <f>Seilareal/Depl^0.667/K$7</f>
        <v>0</v>
      </c>
      <c r="CJ64" s="53">
        <f>Seilareal/Lwl/Lwl/SApRS1</f>
        <v>0</v>
      </c>
      <c r="CK64" s="209"/>
      <c r="CL64" s="209" t="e">
        <f>(ROUND(TBF/CL$6,3)*CL$6)*CL$4</f>
        <v>#VALUE!</v>
      </c>
      <c r="CM64" s="110" t="str">
        <f t="shared" si="234"/>
        <v>-</v>
      </c>
      <c r="CN64" s="64" t="str">
        <f>IF(SeilBeregnet=0,"-",(SeilBeregnet)^(1/2)*StHfaktor/(Depl+DeplTillegg/1000+Vann/1000+Diesel/1000*0.84)^(1/3))</f>
        <v>-</v>
      </c>
      <c r="CO64" s="64" t="str">
        <f t="shared" si="203"/>
        <v>-</v>
      </c>
      <c r="CP64" s="64" t="str">
        <f t="shared" si="204"/>
        <v>-</v>
      </c>
      <c r="CQ64" s="110" t="str">
        <f t="shared" si="205"/>
        <v>-</v>
      </c>
      <c r="CR64" s="172" t="str">
        <f t="shared" si="390"/>
        <v>-</v>
      </c>
      <c r="CS64" s="162"/>
      <c r="CT64" s="172" t="str">
        <f t="shared" si="391"/>
        <v>-</v>
      </c>
      <c r="CU64" s="164"/>
      <c r="CV64" s="195" t="s">
        <v>145</v>
      </c>
      <c r="CW64" s="64" t="s">
        <v>111</v>
      </c>
      <c r="CX64" s="64" t="s">
        <v>111</v>
      </c>
      <c r="CY64" s="64" t="s">
        <v>111</v>
      </c>
      <c r="CZ64" s="154" t="s">
        <v>111</v>
      </c>
      <c r="DA64" s="64" t="str">
        <f t="shared" si="392"/>
        <v>-</v>
      </c>
      <c r="DB64" s="49">
        <f t="shared" si="393"/>
        <v>12.162162162162163</v>
      </c>
      <c r="DC64" s="50">
        <f t="shared" si="394"/>
        <v>0</v>
      </c>
      <c r="DE64" s="110" t="str">
        <f>IF(SeilBeregnet=0,"-",DE$7*(DG:DG+DE$6)*DL:DL*PropF+ErfaringsF+Dyp_F)</f>
        <v>-</v>
      </c>
      <c r="DF64" s="144" t="str">
        <f t="shared" si="633"/>
        <v>-</v>
      </c>
      <c r="DG64" s="110">
        <f t="shared" si="395"/>
        <v>5.2919172865135096</v>
      </c>
      <c r="DH64" s="136">
        <f t="shared" si="409"/>
        <v>3.4359958322368356</v>
      </c>
      <c r="DI64" s="136">
        <f t="shared" si="410"/>
        <v>0</v>
      </c>
      <c r="DJ64" s="136">
        <f t="shared" si="411"/>
        <v>0</v>
      </c>
      <c r="DK64" s="136">
        <f t="shared" si="412"/>
        <v>1.855921454276674</v>
      </c>
      <c r="DL64" s="110">
        <f t="shared" si="413"/>
        <v>1.7871048890689831</v>
      </c>
      <c r="DM64" s="136">
        <f t="shared" si="414"/>
        <v>1.9050019050028575</v>
      </c>
      <c r="DO64" s="110" t="str">
        <f t="shared" si="344"/>
        <v>-</v>
      </c>
      <c r="DP64" s="110" t="str">
        <f t="shared" si="396"/>
        <v>-</v>
      </c>
      <c r="DR64" s="110" t="str">
        <f t="shared" si="397"/>
        <v>-</v>
      </c>
      <c r="DS64" s="125" t="str">
        <f t="shared" si="634"/>
        <v>-</v>
      </c>
      <c r="DT64" s="110" t="str">
        <f t="shared" si="398"/>
        <v>-</v>
      </c>
      <c r="DU64" s="125" t="str">
        <f t="shared" si="635"/>
        <v>-</v>
      </c>
      <c r="DV64" s="110">
        <f t="shared" si="214"/>
        <v>3.4357100460236905</v>
      </c>
      <c r="DW64" s="110">
        <f t="shared" si="215"/>
        <v>2.1685350061166324</v>
      </c>
      <c r="DX64" s="110">
        <f t="shared" si="417"/>
        <v>1.582892730539718</v>
      </c>
      <c r="DZ64" s="110" t="str">
        <f t="shared" si="399"/>
        <v>-</v>
      </c>
      <c r="EB64" s="110">
        <f t="shared" si="217"/>
        <v>3.4357100460236905</v>
      </c>
      <c r="EC64" s="110">
        <f t="shared" si="419"/>
        <v>2.1686860967520136</v>
      </c>
      <c r="ED64" s="110">
        <f t="shared" si="420"/>
        <v>1.8446276715143175</v>
      </c>
      <c r="EE64" s="110" t="str">
        <f t="shared" si="400"/>
        <v>-</v>
      </c>
      <c r="EG64" s="110">
        <f t="shared" si="421"/>
        <v>5.4383604560931795</v>
      </c>
      <c r="EH64" s="110">
        <f t="shared" si="219"/>
        <v>3.4357100460236905</v>
      </c>
      <c r="EI64" s="110">
        <f t="shared" si="423"/>
        <v>1.582892730539718</v>
      </c>
      <c r="EJ64" s="110">
        <f t="shared" si="424"/>
        <v>1.7871048890689831</v>
      </c>
      <c r="EK64" s="110" t="str">
        <f>IF(SeilBeregnet=0,"-",EK$7*(EK$4*EM:EM+EK$6)*EP:EP*PropF+ErfaringsF+Dyp_F)</f>
        <v>-</v>
      </c>
      <c r="EM64" s="110">
        <f>IF(SeilBeregnet=0,EM63,(EN:EN*EO:EO)^EM$3)</f>
        <v>1.8640823243157345</v>
      </c>
      <c r="EN64" s="110">
        <f t="shared" si="220"/>
        <v>3.4357100460236905</v>
      </c>
      <c r="EO64" s="110">
        <f t="shared" si="426"/>
        <v>1.011378394939906</v>
      </c>
      <c r="EP64" s="110">
        <f t="shared" si="427"/>
        <v>1.8153378227362575</v>
      </c>
      <c r="EQ64" s="110" t="str">
        <f>IF(SeilBeregnet=0,"-",EQ$7*(ES:ES+EQ$6)*EV:EV*PropF+ErfaringsF+Dyp_F)</f>
        <v>-</v>
      </c>
      <c r="ES64" s="110">
        <f>(ET:ET*EU:EU)^ES$3</f>
        <v>1.8641598509322899</v>
      </c>
      <c r="ET64" s="110">
        <f t="shared" si="221"/>
        <v>3.4359958322368356</v>
      </c>
      <c r="EU64" s="110">
        <f t="shared" si="429"/>
        <v>1.011378394939906</v>
      </c>
      <c r="EV64" s="110">
        <f t="shared" si="430"/>
        <v>1.8153378227362575</v>
      </c>
      <c r="EW64" s="110" t="str">
        <f>IF(SeilBeregnet=0,"-",EW$7*(EY:EY+EW$6)*FB:FB*PropF+ErfaringsF+Dyp_F)</f>
        <v>-</v>
      </c>
      <c r="EX64" s="144" t="str">
        <f t="shared" si="636"/>
        <v>-</v>
      </c>
      <c r="EY64" s="110">
        <f>(EZ:EZ*FA:FA)^EY$3</f>
        <v>3.5146329184855274</v>
      </c>
      <c r="EZ64" s="136">
        <f t="shared" si="431"/>
        <v>3.4359958322368356</v>
      </c>
      <c r="FA64" s="136">
        <f t="shared" si="432"/>
        <v>1.0228862577512206</v>
      </c>
      <c r="FB64" s="110">
        <f t="shared" si="433"/>
        <v>1.0208394769056701</v>
      </c>
      <c r="FC64" s="110" t="str">
        <f>IF(SeilBeregnet=0,"-",FC$7*(FE:FE+FC$6)*FI:FI*PropF+ErfaringsF+Dyp_F)</f>
        <v>-</v>
      </c>
      <c r="FD64" s="144" t="str">
        <f t="shared" si="637"/>
        <v>-</v>
      </c>
      <c r="FE64" s="110">
        <f>(FF:FF+FG:FG+FH:FH)^FE$3+FE$7</f>
        <v>5.6406787380049579</v>
      </c>
      <c r="FF64" s="136">
        <f t="shared" si="434"/>
        <v>3.4359958322368356</v>
      </c>
      <c r="FG64" s="136">
        <f t="shared" si="435"/>
        <v>0.84876145149144822</v>
      </c>
      <c r="FH64" s="136">
        <f t="shared" si="436"/>
        <v>1.855921454276674</v>
      </c>
      <c r="FI64" s="110">
        <f t="shared" si="437"/>
        <v>1.7871048890689831</v>
      </c>
      <c r="FJ64" s="110" t="str">
        <f>IF(SeilBeregnet=0,"-",FJ$7*(FL:FL+FJ$6)*FO:FO*PropF+ErfaringsF+Dyp_F)</f>
        <v>-</v>
      </c>
      <c r="FK64" s="144" t="str">
        <f t="shared" si="638"/>
        <v>-</v>
      </c>
      <c r="FL64" s="110">
        <f>(FM:FM*FN:FN)^FL$3</f>
        <v>6.376938381853579</v>
      </c>
      <c r="FM64" s="136">
        <f t="shared" si="438"/>
        <v>3.4359958322368356</v>
      </c>
      <c r="FN64" s="136">
        <f t="shared" si="439"/>
        <v>1.855921454276674</v>
      </c>
      <c r="FO64" s="110">
        <f t="shared" si="440"/>
        <v>1.7871048890689831</v>
      </c>
      <c r="FQ64">
        <v>0.95</v>
      </c>
      <c r="FR64" s="64" t="str">
        <f t="shared" si="639"/>
        <v>-</v>
      </c>
      <c r="FS64" s="479"/>
      <c r="FT64" s="18"/>
      <c r="FU64" s="481"/>
      <c r="FV64" s="504"/>
      <c r="FW64" s="18"/>
      <c r="FX64" s="18"/>
      <c r="FY64" s="18"/>
      <c r="FZ64" s="18"/>
      <c r="GB64" s="18"/>
      <c r="GC64" s="481"/>
      <c r="GD64" s="8"/>
      <c r="GE64" s="8"/>
      <c r="GF64" s="8"/>
      <c r="GG64" s="8"/>
      <c r="GI64" s="18"/>
      <c r="GJ64" s="18"/>
      <c r="GK64" s="18"/>
      <c r="GL64" s="18"/>
      <c r="GM64" s="18"/>
      <c r="GN64" s="18"/>
      <c r="GO64" s="18"/>
      <c r="GP64" s="18"/>
    </row>
    <row r="65" spans="1:198" ht="17.399999999999999" x14ac:dyDescent="0.3">
      <c r="A65" s="118" t="s">
        <v>294</v>
      </c>
      <c r="B65" s="100"/>
      <c r="C65" s="100"/>
      <c r="D65" s="100"/>
      <c r="E65" s="100"/>
      <c r="F65" s="100"/>
      <c r="G65" s="100"/>
      <c r="H65" s="210"/>
      <c r="I65" s="100"/>
      <c r="J65" s="230"/>
      <c r="K65" s="230"/>
      <c r="L65" s="230"/>
      <c r="M65" s="230"/>
      <c r="N65" s="266"/>
      <c r="O65" s="230"/>
      <c r="P65" s="230"/>
      <c r="Q65" s="230"/>
      <c r="R65" s="230"/>
      <c r="S65" s="271" t="s">
        <v>140</v>
      </c>
      <c r="T65" s="272"/>
      <c r="U65" s="271"/>
      <c r="V65" s="181">
        <f>StorS-StorS/6</f>
        <v>0</v>
      </c>
      <c r="W65" s="181">
        <f>StorS-StorS/6*1.9</f>
        <v>0</v>
      </c>
      <c r="X65" s="230"/>
      <c r="Y65" s="230"/>
      <c r="Z65" s="230"/>
      <c r="AA65" s="230"/>
      <c r="AB65" s="230"/>
      <c r="AC65" s="230"/>
      <c r="AD65" s="230"/>
      <c r="AE65" s="261"/>
      <c r="AF65" s="297"/>
      <c r="AG65" s="379"/>
      <c r="AH65" s="297"/>
      <c r="AI65" s="379"/>
      <c r="AJ65" s="297"/>
      <c r="AK65" s="10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97"/>
      <c r="BH65" s="297"/>
      <c r="BI65" s="100"/>
      <c r="BJ65" s="100"/>
      <c r="BK65" s="100"/>
      <c r="BL65" s="62"/>
      <c r="BM65" s="100"/>
      <c r="BN65" s="100"/>
      <c r="BO65" s="100"/>
      <c r="BP65" s="100"/>
      <c r="BQ65" s="100"/>
      <c r="BR65" s="100"/>
      <c r="BS65" s="52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5"/>
      <c r="CE65" s="100"/>
      <c r="CF65" s="108"/>
      <c r="CG65" s="106"/>
      <c r="CH65" s="100"/>
      <c r="CI65" s="230"/>
      <c r="CJ65" s="100"/>
      <c r="CK65" s="210"/>
      <c r="CL65" s="210"/>
      <c r="CM65" s="110" t="str">
        <f t="shared" si="234"/>
        <v>-</v>
      </c>
      <c r="CN65" s="64" t="str">
        <f>IF(SeilBeregnet=0,"-",(SeilBeregnet)^(1/2)*StHfaktor/(Depl+DeplTillegg/1000+Vann/1000+Diesel/1000*0.84)^(1/3))</f>
        <v>-</v>
      </c>
      <c r="CO65" s="64" t="str">
        <f t="shared" ref="CO65:CO230" si="659">IF(SeilBeregnet=0,"-",((Loa+Lwl)/2/Bredde)^(1/CO$7))</f>
        <v>-</v>
      </c>
      <c r="CP65" s="64" t="str">
        <f t="shared" ref="CP65:CP230" si="660">IF(SeilBeregnet=0,"-",Lwl^(1/CP$7))</f>
        <v>-</v>
      </c>
      <c r="CQ65" s="110" t="str">
        <f t="shared" ref="CQ65:CQ230" si="661">IF(SeilBeregnet=0,"-",(StH/Lwl)^(1/CQ$7))</f>
        <v>-</v>
      </c>
      <c r="CR65" s="172" t="str">
        <f t="shared" si="390"/>
        <v>-</v>
      </c>
      <c r="CS65" s="166"/>
      <c r="CT65" s="172" t="str">
        <f t="shared" si="391"/>
        <v>-</v>
      </c>
      <c r="CU65" s="166"/>
      <c r="CV65" s="166"/>
      <c r="CW65" s="166"/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66"/>
      <c r="DK65" s="166"/>
      <c r="DL65" s="166"/>
      <c r="DM65" s="166"/>
      <c r="DN65" s="166"/>
      <c r="DO65" s="166"/>
      <c r="DP65" s="166"/>
      <c r="DQ65" s="166"/>
      <c r="DR65" s="166"/>
      <c r="DS65" s="166"/>
      <c r="DT65" s="166"/>
      <c r="DU65" s="166"/>
      <c r="DV65" s="166"/>
      <c r="DW65" s="166"/>
      <c r="DX65" s="166"/>
      <c r="DY65" s="166"/>
      <c r="DZ65" s="166"/>
      <c r="EA65" s="166"/>
      <c r="EB65" s="166"/>
      <c r="EC65" s="166"/>
      <c r="ED65" s="166"/>
      <c r="EE65" s="166"/>
      <c r="EF65" s="166"/>
      <c r="EG65" s="166"/>
      <c r="EH65" s="166"/>
      <c r="EI65" s="166"/>
      <c r="EJ65" s="166"/>
      <c r="EK65" s="166"/>
      <c r="EL65" s="166"/>
      <c r="EM65" s="166"/>
      <c r="EN65" s="166"/>
      <c r="EO65" s="166"/>
      <c r="EP65" s="166"/>
      <c r="EQ65" s="166"/>
      <c r="ER65" s="166"/>
      <c r="ES65" s="166"/>
      <c r="ET65" s="166"/>
      <c r="EU65" s="166"/>
      <c r="EV65" s="166"/>
      <c r="EW65" s="166"/>
      <c r="EX65" s="166"/>
      <c r="EY65" s="166"/>
      <c r="EZ65" s="166"/>
      <c r="FA65" s="166"/>
      <c r="FB65" s="166"/>
      <c r="FC65" s="166"/>
      <c r="FD65" s="166"/>
      <c r="FE65" s="166"/>
      <c r="FF65" s="166"/>
      <c r="FG65" s="166"/>
      <c r="FH65" s="166"/>
      <c r="FI65" s="166"/>
      <c r="FJ65" s="166"/>
      <c r="FK65" s="166"/>
      <c r="FL65" s="166"/>
      <c r="FM65" s="166"/>
      <c r="FN65" s="166"/>
      <c r="FO65" s="166"/>
      <c r="FP65" s="568"/>
      <c r="FQ65" s="166"/>
      <c r="FR65" s="64"/>
      <c r="FS65" s="100"/>
      <c r="FT65" s="100"/>
      <c r="FU65" s="483"/>
      <c r="FV65" s="100"/>
      <c r="FW65" s="477"/>
      <c r="FX65" s="477"/>
      <c r="FY65" s="477"/>
      <c r="FZ65" s="477"/>
      <c r="GB65" s="100"/>
      <c r="GC65" s="483"/>
      <c r="GD65" s="100"/>
      <c r="GE65" s="100"/>
      <c r="GF65" s="100"/>
      <c r="GG65" s="100"/>
      <c r="GI65" s="477"/>
      <c r="GJ65" s="477"/>
      <c r="GK65" s="477"/>
      <c r="GL65" s="477"/>
      <c r="GM65" s="477"/>
      <c r="GN65" s="477"/>
      <c r="GO65" s="477"/>
      <c r="GP65" s="477"/>
    </row>
    <row r="66" spans="1:198" ht="15.6" x14ac:dyDescent="0.3">
      <c r="A66" s="54" t="s">
        <v>88</v>
      </c>
      <c r="B66" s="223">
        <f t="shared" ref="B66" si="662">Loa/0.3048</f>
        <v>52.165354330708659</v>
      </c>
      <c r="C66" s="55" t="s">
        <v>41</v>
      </c>
      <c r="D66" s="55"/>
      <c r="E66" s="55"/>
      <c r="F66" s="55"/>
      <c r="G66" s="56"/>
      <c r="H66" s="209"/>
      <c r="I66" s="126" t="str">
        <f>A66</f>
        <v>ANAHITA</v>
      </c>
      <c r="J66" s="229"/>
      <c r="K66" s="119"/>
      <c r="L66" s="119"/>
      <c r="M66" s="95"/>
      <c r="N66" s="265"/>
      <c r="O66" s="169"/>
      <c r="P66" s="169">
        <v>70</v>
      </c>
      <c r="Q66" s="169"/>
      <c r="R66" s="169"/>
      <c r="S66" s="169"/>
      <c r="T66" s="169">
        <v>43</v>
      </c>
      <c r="U66" s="169"/>
      <c r="V66" s="169"/>
      <c r="W66" s="169"/>
      <c r="X66" s="169"/>
      <c r="Y66" s="169"/>
      <c r="Z66" s="169"/>
      <c r="AA66" s="169"/>
      <c r="AB66" s="169">
        <v>73</v>
      </c>
      <c r="AC66" s="169"/>
      <c r="AD66" s="169"/>
      <c r="AE66" s="270">
        <v>19.23</v>
      </c>
      <c r="AF66" s="296"/>
      <c r="AG66" s="377"/>
      <c r="AH66" s="296" t="s">
        <v>289</v>
      </c>
      <c r="AI66" s="377">
        <v>0.02</v>
      </c>
      <c r="AJ66" s="296" t="s">
        <v>630</v>
      </c>
      <c r="AK66" s="47">
        <f>VLOOKUP(AJ66,Skrogform!$1:$1048576,3,FALSE)</f>
        <v>1.02</v>
      </c>
      <c r="AL66" s="57">
        <v>15.9</v>
      </c>
      <c r="AM66" s="57">
        <v>12.93</v>
      </c>
      <c r="AN66" s="57">
        <v>3.78</v>
      </c>
      <c r="AO66" s="57">
        <v>2.65</v>
      </c>
      <c r="AP66" s="57">
        <v>18.64</v>
      </c>
      <c r="AQ66" s="57">
        <v>7.3</v>
      </c>
      <c r="AR66" s="57"/>
      <c r="AS66" s="281">
        <v>48</v>
      </c>
      <c r="AT66" s="281">
        <v>350</v>
      </c>
      <c r="AU66" s="281">
        <f>ROUND(Depl*10,-2)</f>
        <v>200</v>
      </c>
      <c r="AV66" s="281">
        <f>ROUND(Depl*10,-2)</f>
        <v>200</v>
      </c>
      <c r="AW66" s="270">
        <f>Depl+Diesel/1000+Vann/1000</f>
        <v>19.04</v>
      </c>
      <c r="AX66" s="281"/>
      <c r="AY66" s="98">
        <f>Bredde/(Loa+Lwl)*2</f>
        <v>0.26222684703433924</v>
      </c>
      <c r="AZ66" s="98">
        <f>(Kjøl+Ballast)/Depl</f>
        <v>0.39163090128755362</v>
      </c>
      <c r="BA66" s="288">
        <f>BA$7*((Depl-Kjøl-Ballast-VektMotor/1000-VektAnnet/1000)/Loa/Lwl/Bredde)</f>
        <v>0.61189422810996452</v>
      </c>
      <c r="BB66" s="98">
        <f>BB$7*(Depl/Loa/Lwl/Lwl)</f>
        <v>0.52655033493149828</v>
      </c>
      <c r="BC66" s="178">
        <f>BC$7*(Depl/Loa/Lwl/Bredde)</f>
        <v>0.66576188820309534</v>
      </c>
      <c r="BD66" s="98">
        <f>BD$7*Bredde/(Loa+Lwl)*2</f>
        <v>0.74805142492699139</v>
      </c>
      <c r="BE66" s="98">
        <f>BE$7*(Dypg/Lwl)</f>
        <v>1.1209859107569184</v>
      </c>
      <c r="BF66" s="58" t="s">
        <v>42</v>
      </c>
      <c r="BG66" s="296">
        <v>2</v>
      </c>
      <c r="BH66" s="296">
        <v>50</v>
      </c>
      <c r="BI66" s="47">
        <f t="shared" ref="BI66:BI95" si="663">IF((BF66="Fast"),(1.006248-(0.06415*((BH66/100*SQRT(BG66))/POWER(AP66,(1/3))))),1)</f>
        <v>0.98913998219630206</v>
      </c>
      <c r="BJ66" s="61"/>
      <c r="BK66" s="61"/>
      <c r="BM66" s="214"/>
      <c r="BN66" s="214" t="str">
        <f>$A66</f>
        <v>ANAHITA</v>
      </c>
      <c r="BO66" s="10"/>
      <c r="BP66" s="10"/>
      <c r="BQ66" s="10"/>
      <c r="BR66" s="10"/>
      <c r="BS66" s="52"/>
      <c r="BT66" s="214" t="str">
        <f>$A66</f>
        <v>ANAHITA</v>
      </c>
      <c r="BU66" s="10"/>
      <c r="BV66" s="10"/>
      <c r="BW66" s="10"/>
      <c r="BX66" s="10"/>
      <c r="BY66" s="10"/>
      <c r="BZ66" s="10"/>
      <c r="CA66" s="10"/>
      <c r="CB66" s="10"/>
      <c r="CC66" s="10"/>
      <c r="CD66" s="214"/>
      <c r="CE66" s="10"/>
      <c r="CF66" s="214" t="str">
        <f>$A66</f>
        <v>ANAHITA</v>
      </c>
      <c r="CG66" s="212"/>
      <c r="CH66" s="212"/>
      <c r="CI66" s="119"/>
      <c r="CJ66" s="212"/>
      <c r="CK66" s="208"/>
      <c r="CL66" s="208" t="s">
        <v>26</v>
      </c>
      <c r="CM66" s="110" t="str">
        <f t="shared" si="234"/>
        <v>-</v>
      </c>
      <c r="CN66" s="64" t="str">
        <f>IF(SeilBeregnet=0,"-",(SeilBeregnet)^(1/2)*StHfaktor/(Depl+DeplTillegg/1000+Vann/1000+Diesel/1000*0.84)^(1/3))</f>
        <v>-</v>
      </c>
      <c r="CO66" s="64" t="str">
        <f t="shared" si="659"/>
        <v>-</v>
      </c>
      <c r="CP66" s="64" t="str">
        <f t="shared" si="660"/>
        <v>-</v>
      </c>
      <c r="CQ66" s="110" t="str">
        <f t="shared" si="661"/>
        <v>-</v>
      </c>
      <c r="CR66" s="172" t="str">
        <f t="shared" si="390"/>
        <v>-</v>
      </c>
      <c r="CS66" s="162"/>
      <c r="CT66" s="172" t="str">
        <f t="shared" si="391"/>
        <v>-</v>
      </c>
      <c r="CU66" s="164">
        <v>1.66</v>
      </c>
      <c r="CV66" s="195" t="s">
        <v>145</v>
      </c>
      <c r="CW66" s="30" t="s">
        <v>26</v>
      </c>
      <c r="CX66" s="30" t="s">
        <v>26</v>
      </c>
      <c r="CY66" s="30" t="s">
        <v>26</v>
      </c>
      <c r="CZ66" s="153">
        <v>2022</v>
      </c>
      <c r="DA66" s="64" t="str">
        <f t="shared" ref="DA66:DA230" si="664">IF(SeilBeregnet=0,"-",((Dypg/(Lwl+DA$6-Bredde*DA$5))^(1/DA$4)*5)*DA$3*DA$7)</f>
        <v>-</v>
      </c>
      <c r="DB66" s="49">
        <f t="shared" ref="DB66:DB230" si="665">(Dypg/(Lwl+Bredde+DB$8)*100)</f>
        <v>14.963297571993223</v>
      </c>
      <c r="DC66" s="50">
        <f t="shared" ref="DC66:DC95" si="666">DB$7*IF(DB66&lt;DB$5,-0.04,IF(DB66&lt;DB$5*1.1,-0.03,IF(DB66&lt;DB$5*1.2,-0.02,IF(DB66&lt;DB$5*1.3,-0.01,0))))</f>
        <v>0</v>
      </c>
      <c r="DE66" s="110" t="str">
        <f>IF(SeilBeregnet=0,"-",DE$7*(DG:DG+DE$6)*DL:DL*PropF+ErfaringsF+Dyp_F)</f>
        <v>-</v>
      </c>
      <c r="DF66" s="144" t="str">
        <f t="shared" ref="DF66:DF76" si="667">IF($DQ66=0,"-",(DE66-$DO66)*100)</f>
        <v>-</v>
      </c>
      <c r="DG66" s="110">
        <f t="shared" ref="DG66:DG95" si="668">SUM(DH66:DK66)^DG$3+DG$7</f>
        <v>6.4334079620224456</v>
      </c>
      <c r="DH66" s="136">
        <f>IF(SeilBeregnet=0,DH250,(SeilBeregnet^0.5/(Depl^0.3333))^DH$3*DH$7)</f>
        <v>4.336559328108117</v>
      </c>
      <c r="DI66" s="136">
        <f>IF(SeilBeregnet=0,DI250,(SeilBeregnet^0.5/Lwl)^DI$3*DI$7)</f>
        <v>0</v>
      </c>
      <c r="DJ66" s="136">
        <f>IF(SeilBeregnet=0,DJ250,(0.1*Loa/Depl^0.3333)^DJ$3*DJ$7)</f>
        <v>0</v>
      </c>
      <c r="DK66" s="136">
        <f>IF(SeilBeregnet=0,DK250,((Loa)/Bredde)^DK$3*DK$7)</f>
        <v>2.0968486339143286</v>
      </c>
      <c r="DL66" s="110">
        <f>IF(SeilBeregnet=0,DL250,(Lwl)^DL$3)</f>
        <v>1.7415941483654049</v>
      </c>
      <c r="DM66" s="136">
        <f>IF(SeilBeregnet=0,DM250,(Dypg/Loa)^DM$3*5*DM$7)</f>
        <v>2.0981073118415403</v>
      </c>
      <c r="DO66" s="110" t="str">
        <f t="shared" ref="DO66:DO263" si="669">IF(SeilBeregnet=0,"-",Skaleringsfaktor*(1*(LBf+SaDeplf)*Lf*PropF+Strikkf2)+ErfaringsF+Dyp_F)</f>
        <v>-</v>
      </c>
      <c r="DP66" s="110" t="str">
        <f t="shared" ref="DP66:DP230" si="670">IF(SeilBeregnet=0,"-",DP$7*(DP$4*SeilBeregnet^0.5/(Depl^0.33333*Bredde*Lwl)^0.3333*((Loa*0.03+Lwl*0.07)^0.33)*PropF+DP$6)+ErfaringsF+Dyp_F)</f>
        <v>-</v>
      </c>
      <c r="DR66" s="110" t="str">
        <f t="shared" ref="DR66:DR230" si="671">IF(SeilBeregnet=0,"-",DR$7*(DR$4*SeilBeregnet^0.5/(Depl^0.33333*Bredde*Lwl)^0.3333*Lwl^0.3333*((Loa+Lwl)/Bredde/6)^0.25*PropF+DR$6)+ErfaringsF+Dyp_F)</f>
        <v>-</v>
      </c>
      <c r="DS66" s="125" t="str">
        <f t="shared" ref="DS66:DS76" si="672">IF($DQ66=0,"-",DR66-$DO66)</f>
        <v>-</v>
      </c>
      <c r="DT66" s="110" t="str">
        <f t="shared" ref="DT66:DT95" si="673">IF(SeilBeregnet=0,"-",DT$7*(DT$4*DV66*DW66*DX66*PropF+DT$6)+ErfaringsF+Dyp_F)</f>
        <v>-</v>
      </c>
      <c r="DU66" s="125" t="str">
        <f t="shared" ref="DU66:DU76" si="674">IF($DQ66=0,"-",DT66-$DO66)</f>
        <v>-</v>
      </c>
      <c r="DV66" s="110">
        <f>IF(SeilBeregnet=0,DV250,SeilBeregnet^0.5/Depl^0.33333)</f>
        <v>4.3362473808751103</v>
      </c>
      <c r="DW66" s="110">
        <f>IF(SeilBeregnet=0,DW250,Lwl^0.3333)</f>
        <v>2.0952241096557445</v>
      </c>
      <c r="DX66" s="110">
        <f>IF(SeilBeregnet=0,DX250,((Loa+Lwl)/Bredde)^DX$3)</f>
        <v>1.6473506606766539</v>
      </c>
      <c r="DZ66" s="110" t="str">
        <f t="shared" ref="DZ66:DZ95" si="675">IF(SeilBeregnet=0,"-",DZ$7*(DZ$4*EB66*EC66*ED66*PropF+DZ$6)+ErfaringsF+Dyp_F)</f>
        <v>-</v>
      </c>
      <c r="EB66" s="110">
        <f>IF(SeilBeregnet=0,EB250,SeilBeregnet^0.5/Depl^0.33333)</f>
        <v>4.3362473808751103</v>
      </c>
      <c r="EC66" s="110">
        <f>IF(SeilBeregnet=0,EC250,Lwl^EC$3)</f>
        <v>2.095363606158581</v>
      </c>
      <c r="ED66" s="110">
        <f>IF(SeilBeregnet=0,ED250,((Loa+Lwl)/Bredde)^ED$3)</f>
        <v>1.9454459426913298</v>
      </c>
      <c r="EE66" s="110" t="str">
        <f t="shared" ref="EE66:EE95" si="676">IF(SeilBeregnet=0,"-",EE$7*(EE$4*EG66+EE$6)*EJ66*PropF+ErfaringsF+Dyp_F)</f>
        <v>-</v>
      </c>
      <c r="EG66" s="110">
        <f>IF(SeilBeregnet=0,EG250,(EH66*EI66)^EG$3)</f>
        <v>7.1433199877420233</v>
      </c>
      <c r="EH66" s="110">
        <f>IF(SeilBeregnet=0,EH250,SeilBeregnet^0.5/Depl^0.33333)</f>
        <v>4.3362473808751103</v>
      </c>
      <c r="EI66" s="110">
        <f>IF(SeilBeregnet=0,EI250,((Loa+Lwl)/Bredde)^EI$3)</f>
        <v>1.6473506606766539</v>
      </c>
      <c r="EJ66" s="110">
        <f>IF(SeilBeregnet=0,EJ250,Lwl^EJ$3)</f>
        <v>1.7415941483654049</v>
      </c>
      <c r="EK66" s="110" t="str">
        <f>IF(SeilBeregnet=0,"-",EK$7*(EK$4*EM:EM+EK$6)*EP:EP*PropF+ErfaringsF+Dyp_F)</f>
        <v>-</v>
      </c>
      <c r="EM66" s="110">
        <f>IF(SeilBeregnet=0,EM250,(EN:EN*EO:EO)^EM$3)</f>
        <v>2.1363929993314277</v>
      </c>
      <c r="EN66" s="110">
        <f>IF(SeilBeregnet=0,EN250,SeilBeregnet^0.5/Depl^0.33333)</f>
        <v>4.3362473808751103</v>
      </c>
      <c r="EO66" s="110">
        <f>IF(SeilBeregnet=0,EO250,((Loa+Lwl)/Bredde/6)^EO$3)</f>
        <v>1.0525633449148892</v>
      </c>
      <c r="EP66" s="110">
        <f>IF(SeilBeregnet=0,EP250,(Lwl*0.7+Loa*0.3)^EP$3)</f>
        <v>1.8013445147642846</v>
      </c>
      <c r="EQ66" s="110" t="str">
        <f>IF(SeilBeregnet=0,"-",EQ$7*(ES:ES+EQ$6)*EV:EV*PropF+ErfaringsF+Dyp_F)</f>
        <v>-</v>
      </c>
      <c r="ES66" s="110">
        <f>(ET:ET*EU:EU)^ES$3</f>
        <v>2.1364698434135092</v>
      </c>
      <c r="ET66" s="110">
        <f>IF(SeilBeregnet=0,ET250,SeilBeregnet^0.5/Depl^0.3333)</f>
        <v>4.336559328108117</v>
      </c>
      <c r="EU66" s="110">
        <f>IF(SeilBeregnet=0,EU250,((Loa+Lwl)/Bredde/6)^EU$3)</f>
        <v>1.0525633449148892</v>
      </c>
      <c r="EV66" s="110">
        <f>IF(SeilBeregnet=0,EV250,(Lwl*0.7+Loa*0.3)^EV$3)</f>
        <v>1.8013445147642846</v>
      </c>
      <c r="EW66" s="110" t="str">
        <f>IF(SeilBeregnet=0,"-",EW$7*(EY:EY+EW$6)*FB:FB*PropF+ErfaringsF+Dyp_F)</f>
        <v>-</v>
      </c>
      <c r="EX66" s="144" t="str">
        <f t="shared" ref="EX66:EX76" si="677">IF($DQ66=0,"-",(EW66-$DO66)*100)</f>
        <v>-</v>
      </c>
      <c r="EY66" s="110">
        <f>(EZ:EZ*FA:FA)^EY$3</f>
        <v>4.8044289579645145</v>
      </c>
      <c r="EZ66" s="136">
        <f>IF(SeilBeregnet=0,EZ250,(SeilBeregnet^0.5/(Depl^0.3333))^EZ$3)</f>
        <v>4.336559328108117</v>
      </c>
      <c r="FA66" s="136">
        <f>IF(SeilBeregnet=0,FA250,((Loa+Lwl)/Bredde/6)^FA$3)</f>
        <v>1.1078895950584198</v>
      </c>
      <c r="FB66" s="110">
        <f>IF(SeilBeregnet=0,FB250,(Lwl*0.07+Loa*0.03)^FB$3)</f>
        <v>1.0129704615569142</v>
      </c>
      <c r="FC66" s="110" t="str">
        <f>IF(SeilBeregnet=0,"-",FC$7*(FE:FE+FC$6)*FI:FI*PropF+ErfaringsF+Dyp_F)</f>
        <v>-</v>
      </c>
      <c r="FD66" s="144" t="str">
        <f t="shared" ref="FD66:FD76" si="678">IF($DQ66=0,"-",(FC66-$DO66)*100)</f>
        <v>-</v>
      </c>
      <c r="FE66" s="110">
        <f>(FF:FF+FG:FG+FH:FH)^FE$3+FE$7</f>
        <v>6.9816308708260273</v>
      </c>
      <c r="FF66" s="136">
        <f>IF(SeilBeregnet=0,FF250,(SeilBeregnet^0.5/(Depl^0.3333))^FF$3)</f>
        <v>4.336559328108117</v>
      </c>
      <c r="FG66" s="136">
        <f>IF(SeilBeregnet=0,FG250,(SeilBeregnet^0.5/Lwl*FG$7)^FG$3)</f>
        <v>1.0482229088035822</v>
      </c>
      <c r="FH66" s="136">
        <f>IF(SeilBeregnet=0,FH250,((Loa)/Bredde)^FH$3*FH$7)</f>
        <v>2.0968486339143286</v>
      </c>
      <c r="FI66" s="110">
        <f>IF(SeilBeregnet=0,FI250,(Lwl)^FI$3)</f>
        <v>1.7415941483654049</v>
      </c>
      <c r="FJ66" s="110" t="str">
        <f>IF(SeilBeregnet=0,"-",FJ$7*(FL:FL+FJ$6)*FO:FO*PropF+ErfaringsF+Dyp_F)</f>
        <v>-</v>
      </c>
      <c r="FK66" s="144" t="str">
        <f t="shared" ref="FK66:FK76" si="679">IF($DQ66=0,"-",(FJ66-$DO66)*100)</f>
        <v>-</v>
      </c>
      <c r="FL66" s="110">
        <f>(FM:FM*FN:FN)^FL$3</f>
        <v>9.0931085030319441</v>
      </c>
      <c r="FM66" s="136">
        <f>IF(SeilBeregnet=0,FM250,(SeilBeregnet^0.5/(Depl^0.3333))^FM$3)</f>
        <v>4.336559328108117</v>
      </c>
      <c r="FN66" s="136">
        <f>IF(SeilBeregnet=0,FN250,(Loa/Bredde)^FN$3)</f>
        <v>2.0968486339143286</v>
      </c>
      <c r="FO66" s="110">
        <f>IF(SeilBeregnet=0,FO250,Lwl^FO$3)</f>
        <v>1.7415941483654049</v>
      </c>
      <c r="FP66" s="569">
        <v>1.66</v>
      </c>
      <c r="FQ66" s="374">
        <v>1</v>
      </c>
      <c r="FR66" s="64" t="str">
        <f t="shared" ref="FR66:FR74" si="680">IF(SeilBeregnet=0,"-",0.06*2.43^(1/2)*(SeilBeregnet^(1/2)/Depl^(1/3)+(Loa/Bredde)^(1/2)+5*(Dypg/Loa)^(1/2))*Lwl^(1/4)*FQ66)</f>
        <v>-</v>
      </c>
      <c r="FS66" s="480" t="s">
        <v>498</v>
      </c>
      <c r="FT66" s="59" t="s">
        <v>515</v>
      </c>
      <c r="FU66" s="475" t="s">
        <v>632</v>
      </c>
      <c r="FV66" s="542" t="s">
        <v>698</v>
      </c>
      <c r="FW66" s="59" t="s">
        <v>516</v>
      </c>
      <c r="FX66" s="59" t="s">
        <v>517</v>
      </c>
      <c r="FY66" s="59" t="s">
        <v>455</v>
      </c>
      <c r="FZ66" s="59" t="s">
        <v>518</v>
      </c>
      <c r="GB66" s="59" t="s">
        <v>522</v>
      </c>
      <c r="GC66" s="475" t="s">
        <v>522</v>
      </c>
      <c r="GD66" s="60" t="s">
        <v>522</v>
      </c>
      <c r="GE66" s="60" t="s">
        <v>522</v>
      </c>
      <c r="GF66" s="60" t="s">
        <v>522</v>
      </c>
      <c r="GG66" s="60" t="s">
        <v>522</v>
      </c>
      <c r="GI66" s="59" t="s">
        <v>519</v>
      </c>
      <c r="GJ66" s="59" t="s">
        <v>786</v>
      </c>
      <c r="GK66" s="59" t="s">
        <v>520</v>
      </c>
      <c r="GL66" s="59" t="s">
        <v>785</v>
      </c>
      <c r="GM66" s="59">
        <v>1961</v>
      </c>
      <c r="GN66" s="59" t="s">
        <v>512</v>
      </c>
      <c r="GO66" s="59" t="s">
        <v>521</v>
      </c>
      <c r="GP66" s="59" t="s">
        <v>522</v>
      </c>
    </row>
    <row r="67" spans="1:198" ht="15.6" x14ac:dyDescent="0.3">
      <c r="A67" s="62" t="s">
        <v>71</v>
      </c>
      <c r="B67" s="223"/>
      <c r="C67" s="63" t="str">
        <f>C66</f>
        <v>Bermuda</v>
      </c>
      <c r="D67" s="63"/>
      <c r="E67" s="63"/>
      <c r="F67" s="63"/>
      <c r="G67" s="56"/>
      <c r="H67" s="209">
        <f>TBFavrundet</f>
        <v>138</v>
      </c>
      <c r="I67" s="65">
        <f>COUNTA(O67:AD67)</f>
        <v>2</v>
      </c>
      <c r="J67" s="228">
        <f>SUM(O67:AD67)</f>
        <v>143</v>
      </c>
      <c r="K67" s="119">
        <f>Seilareal/Depl^0.667/K$7</f>
        <v>1.8580268164746931</v>
      </c>
      <c r="L67" s="119">
        <f>Seilareal/Lwl/Lwl/L$7</f>
        <v>1.2978244793673068</v>
      </c>
      <c r="M67" s="95">
        <f>RiggF</f>
        <v>1</v>
      </c>
      <c r="N67" s="265">
        <f>StHfaktor</f>
        <v>1.0508666144490193</v>
      </c>
      <c r="O67" s="147"/>
      <c r="P67" s="169">
        <v>70</v>
      </c>
      <c r="Q67" s="147"/>
      <c r="R67" s="147"/>
      <c r="S67" s="147"/>
      <c r="T67" s="147"/>
      <c r="U67" s="148"/>
      <c r="V67" s="148"/>
      <c r="W67" s="148"/>
      <c r="X67" s="148"/>
      <c r="Y67" s="147"/>
      <c r="Z67" s="147"/>
      <c r="AA67" s="147"/>
      <c r="AB67" s="169">
        <v>73</v>
      </c>
      <c r="AC67" s="147"/>
      <c r="AD67" s="148"/>
      <c r="AE67" s="260">
        <f t="shared" ref="AE67:AE68" si="681">AE66</f>
        <v>19.23</v>
      </c>
      <c r="AF67" s="375">
        <f t="shared" ref="AF67" si="682" xml:space="preserve"> AF66</f>
        <v>0</v>
      </c>
      <c r="AG67" s="377"/>
      <c r="AH67" s="375" t="str">
        <f t="shared" ref="AH67" si="683" xml:space="preserve"> AH66</f>
        <v>Alu</v>
      </c>
      <c r="AI67" s="377">
        <v>0.02</v>
      </c>
      <c r="AJ67" s="295" t="str">
        <f t="shared" ref="AJ67:AJ68" si="684" xml:space="preserve"> AJ66</f>
        <v>Delt</v>
      </c>
      <c r="AK67" s="47">
        <f>VLOOKUP(AJ67,Skrogform!$1:$1048576,3,FALSE)</f>
        <v>1.02</v>
      </c>
      <c r="AL67" s="66">
        <f t="shared" ref="AL67:AT67" si="685">AL66</f>
        <v>15.9</v>
      </c>
      <c r="AM67" s="66">
        <f t="shared" si="685"/>
        <v>12.93</v>
      </c>
      <c r="AN67" s="66">
        <f t="shared" si="685"/>
        <v>3.78</v>
      </c>
      <c r="AO67" s="66">
        <f t="shared" si="685"/>
        <v>2.65</v>
      </c>
      <c r="AP67" s="66">
        <f t="shared" si="685"/>
        <v>18.64</v>
      </c>
      <c r="AQ67" s="66">
        <f t="shared" si="685"/>
        <v>7.3</v>
      </c>
      <c r="AR67" s="66">
        <f t="shared" si="685"/>
        <v>0</v>
      </c>
      <c r="AS67" s="284">
        <f t="shared" si="685"/>
        <v>48</v>
      </c>
      <c r="AT67" s="284">
        <f t="shared" si="685"/>
        <v>350</v>
      </c>
      <c r="AU67" s="284">
        <f t="shared" ref="AU67:AV67" si="686">AU66</f>
        <v>200</v>
      </c>
      <c r="AV67" s="284">
        <f t="shared" si="686"/>
        <v>200</v>
      </c>
      <c r="AW67" s="284"/>
      <c r="AX67" s="284">
        <f>AX66</f>
        <v>0</v>
      </c>
      <c r="AY67" s="68"/>
      <c r="AZ67" s="68"/>
      <c r="BA67" s="289"/>
      <c r="BB67" s="68"/>
      <c r="BC67" s="179"/>
      <c r="BD67" s="68"/>
      <c r="BE67" s="68"/>
      <c r="BF67" s="67" t="str">
        <f t="shared" ref="BF67:BH67" si="687" xml:space="preserve"> BF66</f>
        <v>Fast</v>
      </c>
      <c r="BG67" s="295">
        <f t="shared" si="687"/>
        <v>2</v>
      </c>
      <c r="BH67" s="295">
        <f t="shared" si="687"/>
        <v>50</v>
      </c>
      <c r="BI67" s="47">
        <f t="shared" si="663"/>
        <v>0.98913998219630206</v>
      </c>
      <c r="BJ67" s="61"/>
      <c r="BK67" s="61"/>
      <c r="BM67" s="51">
        <f t="shared" ref="BM67:BR68" si="688">IF(O67=0,0,O67*BM$9)</f>
        <v>0</v>
      </c>
      <c r="BN67" s="51">
        <f t="shared" si="688"/>
        <v>70</v>
      </c>
      <c r="BO67" s="51">
        <f t="shared" si="688"/>
        <v>0</v>
      </c>
      <c r="BP67" s="51">
        <f t="shared" si="688"/>
        <v>0</v>
      </c>
      <c r="BQ67" s="51">
        <f t="shared" si="688"/>
        <v>0</v>
      </c>
      <c r="BR67" s="51">
        <f t="shared" si="688"/>
        <v>0</v>
      </c>
      <c r="BS67" s="52">
        <f>IF(COUNT(P67:T67)&gt;1,MINA(P67:T67)*BS$9,0)</f>
        <v>0</v>
      </c>
      <c r="BT67" s="88">
        <f t="shared" ref="BT67:CC68" si="689">IF(U67=0,0,U67*BT$9)</f>
        <v>0</v>
      </c>
      <c r="BU67" s="88">
        <f t="shared" si="689"/>
        <v>0</v>
      </c>
      <c r="BV67" s="88">
        <f t="shared" si="689"/>
        <v>0</v>
      </c>
      <c r="BW67" s="88">
        <f t="shared" si="689"/>
        <v>0</v>
      </c>
      <c r="BX67" s="88">
        <f t="shared" si="689"/>
        <v>0</v>
      </c>
      <c r="BY67" s="88">
        <f t="shared" si="689"/>
        <v>0</v>
      </c>
      <c r="BZ67" s="88">
        <f t="shared" si="689"/>
        <v>0</v>
      </c>
      <c r="CA67" s="88">
        <f t="shared" si="689"/>
        <v>73</v>
      </c>
      <c r="CB67" s="88">
        <f t="shared" si="689"/>
        <v>0</v>
      </c>
      <c r="CC67" s="88">
        <f t="shared" si="689"/>
        <v>0</v>
      </c>
      <c r="CD67" s="103">
        <f>SUM(BM67:CC67)</f>
        <v>143</v>
      </c>
      <c r="CE67" s="52"/>
      <c r="CF67" s="107">
        <f>J67</f>
        <v>143</v>
      </c>
      <c r="CG67" s="104">
        <f>CD67/CF67</f>
        <v>1</v>
      </c>
      <c r="CH67" s="53">
        <f>Seilareal/Lwl/Lwl</f>
        <v>0.85534040454610438</v>
      </c>
      <c r="CI67" s="119">
        <f>Seilareal/Depl^0.667/K$7</f>
        <v>1.8580268164746931</v>
      </c>
      <c r="CJ67" s="53">
        <f>Seilareal/Lwl/Lwl/SApRS1</f>
        <v>1.2978244793673068</v>
      </c>
      <c r="CK67" s="209"/>
      <c r="CL67" s="209">
        <f>(ROUND(TBF/CL$6,3)*CL$6)*CL$4</f>
        <v>138</v>
      </c>
      <c r="CM67" s="110">
        <f t="shared" ref="CM67:CM230" si="690">IF(SeilBeregnet=0,"-",CM$7*(SaDeplf+LBf)*Lf*Skrogfaktor*PropF*(Mast+1)+ErfaringsF)</f>
        <v>1.381057219461524</v>
      </c>
      <c r="CN67" s="64">
        <f>IF(SeilBeregnet=0,"-",(SeilBeregnet)^(1/2)*StHfaktor/(Depl+DeplTillegg/1000+Vann/1000+Diesel/1000*0.84)^(1/3))</f>
        <v>4.6923265849715676</v>
      </c>
      <c r="CO67" s="64">
        <f t="shared" si="659"/>
        <v>1.9528164438810074</v>
      </c>
      <c r="CP67" s="64">
        <f t="shared" si="660"/>
        <v>1.8962676285991491</v>
      </c>
      <c r="CQ67" s="110">
        <f t="shared" si="661"/>
        <v>1.0508666144490193</v>
      </c>
      <c r="CR67" s="172" t="str">
        <f t="shared" ref="CR67:CR105" si="691">IF(CS67=0,"-",IF(CH67="TBF","-",CR$7*CS67))</f>
        <v>-</v>
      </c>
      <c r="CS67" s="163">
        <f>CS66</f>
        <v>0</v>
      </c>
      <c r="CT67" s="172">
        <f t="shared" ref="CT67:CT105" si="692">IF(CU67=0,"-",IF(CL67="TBF","-",CT$7*CU67))</f>
        <v>1.2814035087719298</v>
      </c>
      <c r="CU67" s="163">
        <f>CU66</f>
        <v>1.66</v>
      </c>
      <c r="CV67" s="195" t="s">
        <v>145</v>
      </c>
      <c r="CW67" s="64">
        <v>1.31</v>
      </c>
      <c r="CX67" s="64">
        <v>1.1299999999999999</v>
      </c>
      <c r="CY67" s="64">
        <v>1.29</v>
      </c>
      <c r="CZ67" s="154">
        <v>1.32</v>
      </c>
      <c r="DA67" s="64">
        <f t="shared" si="664"/>
        <v>2.1393028854176004</v>
      </c>
      <c r="DB67" s="49">
        <f t="shared" si="665"/>
        <v>14.963297571993223</v>
      </c>
      <c r="DC67" s="50">
        <f t="shared" si="666"/>
        <v>0</v>
      </c>
      <c r="DE67" s="110">
        <f>IF(SeilBeregnet=0,"-",DE$7*(DG:DG+DE$6)*DL:DL*PropF+ErfaringsF+Dyp_F)</f>
        <v>1.2430264867356935</v>
      </c>
      <c r="DF67" s="144">
        <f t="shared" si="667"/>
        <v>-8.4402597714060548</v>
      </c>
      <c r="DG67" s="110">
        <f t="shared" si="668"/>
        <v>6.5614771519656809</v>
      </c>
      <c r="DH67" s="136">
        <f>IF(SeilBeregnet=0,DH66,(SeilBeregnet^0.5/(Depl^0.3333))^DH$3*DH$7)</f>
        <v>4.5105385360268206</v>
      </c>
      <c r="DI67" s="136">
        <f>IF(SeilBeregnet=0,DI66,(SeilBeregnet^0.5/Lwl)^DI$3*DI$7)</f>
        <v>0</v>
      </c>
      <c r="DJ67" s="136">
        <f>IF(SeilBeregnet=0,DJ66,(0.1*Loa/Depl^0.3333)^DJ$3*DJ$7)</f>
        <v>0</v>
      </c>
      <c r="DK67" s="136">
        <f>IF(SeilBeregnet=0,DK66,((Loa)/Bredde)^DK$3*DK$7)</f>
        <v>2.0509386159388598</v>
      </c>
      <c r="DL67" s="110">
        <f>IF(SeilBeregnet=0,DL66,(Lwl)^DL$3)</f>
        <v>1.8962676285991491</v>
      </c>
      <c r="DM67" s="136">
        <f>IF(SeilBeregnet=0,DM66,(Dypg/Loa)^DM$3*5*DM$7)</f>
        <v>2.0412414523193152</v>
      </c>
      <c r="DO67" s="110">
        <f t="shared" si="669"/>
        <v>1.327429084449754</v>
      </c>
      <c r="DP67" s="110">
        <f t="shared" si="670"/>
        <v>1.2238322113655424</v>
      </c>
      <c r="DQ67" s="125">
        <f>DP67-DO67</f>
        <v>-0.10359687308421162</v>
      </c>
      <c r="DR67" s="110">
        <f t="shared" si="671"/>
        <v>1.2057195645148471</v>
      </c>
      <c r="DS67" s="125">
        <f t="shared" si="672"/>
        <v>-0.12170951993490697</v>
      </c>
      <c r="DT67" s="110">
        <f t="shared" si="673"/>
        <v>1.3159596094198855</v>
      </c>
      <c r="DU67" s="125">
        <f t="shared" si="674"/>
        <v>-1.1469475029868503E-2</v>
      </c>
      <c r="DV67" s="110">
        <f>IF(SeilBeregnet=0,DV66,SeilBeregnet^0.5/Depl^0.33333)</f>
        <v>4.5101427117169708</v>
      </c>
      <c r="DW67" s="110">
        <f>IF(SeilBeregnet=0,DW66,Lwl^0.3333)</f>
        <v>2.346906502982169</v>
      </c>
      <c r="DX67" s="110">
        <f>IF(SeilBeregnet=0,DX66,((Loa+Lwl)/Bredde)^DX$3)</f>
        <v>1.6618361831906654</v>
      </c>
      <c r="DZ67" s="110">
        <f t="shared" si="675"/>
        <v>1.2956062105923924</v>
      </c>
      <c r="EB67" s="110">
        <f>IF(SeilBeregnet=0,EB66,SeilBeregnet^0.5/Depl^0.33333)</f>
        <v>4.5101427117169708</v>
      </c>
      <c r="EC67" s="110">
        <f>IF(SeilBeregnet=0,EC66,Lwl^EC$3)</f>
        <v>2.3470867206509878</v>
      </c>
      <c r="ED67" s="110">
        <f>IF(SeilBeregnet=0,ED66,((Loa+Lwl)/Bredde)^ED$3)</f>
        <v>1.9682859953710667</v>
      </c>
      <c r="EE67" s="110">
        <f t="shared" si="676"/>
        <v>1.2821858843044998</v>
      </c>
      <c r="EG67" s="110">
        <f>IF(SeilBeregnet=0,EG66,(EH67*EI67)^EG$3)</f>
        <v>7.4951183496849278</v>
      </c>
      <c r="EH67" s="110">
        <f>IF(SeilBeregnet=0,EH66,SeilBeregnet^0.5/Depl^0.33333)</f>
        <v>4.5101427117169708</v>
      </c>
      <c r="EI67" s="110">
        <f>IF(SeilBeregnet=0,EI66,((Loa+Lwl)/Bredde)^EI$3)</f>
        <v>1.6618361831906654</v>
      </c>
      <c r="EJ67" s="110">
        <f>IF(SeilBeregnet=0,EJ66,Lwl^EJ$3)</f>
        <v>1.8962676285991491</v>
      </c>
      <c r="EK67" s="110">
        <f>IF(SeilBeregnet=0,"-",EK$7*(EK$4*EM:EM+EK$6)*EP:EP*PropF+ErfaringsF+Dyp_F)</f>
        <v>1.2502190397993227</v>
      </c>
      <c r="EM67" s="110">
        <f>IF(SeilBeregnet=0,EM66,(EN:EN*EO:EO)^EM$3)</f>
        <v>2.1883679272555807</v>
      </c>
      <c r="EN67" s="110">
        <f>IF(SeilBeregnet=0,EN66,SeilBeregnet^0.5/Depl^0.33333)</f>
        <v>4.5101427117169708</v>
      </c>
      <c r="EO67" s="110">
        <f>IF(SeilBeregnet=0,EO66,((Loa+Lwl)/Bredde/6)^EO$3)</f>
        <v>1.0618187696366208</v>
      </c>
      <c r="EP67" s="110">
        <f>IF(SeilBeregnet=0,EP66,(Lwl*0.7+Loa*0.3)^EP$3)</f>
        <v>1.928123583877269</v>
      </c>
      <c r="EQ67" s="110">
        <f>IF(SeilBeregnet=0,"-",EQ$7*(ES:ES+EQ$6)*EV:EV*PropF+ErfaringsF+Dyp_F)</f>
        <v>1.1421153912655768</v>
      </c>
      <c r="ES67" s="110">
        <f>(ET:ET*EU:EU)^ES$3</f>
        <v>2.188463954174837</v>
      </c>
      <c r="ET67" s="110">
        <f>IF(SeilBeregnet=0,ET66,SeilBeregnet^0.5/Depl^0.3333)</f>
        <v>4.5105385360268206</v>
      </c>
      <c r="EU67" s="110">
        <f>IF(SeilBeregnet=0,EU66,((Loa+Lwl)/Bredde/6)^EU$3)</f>
        <v>1.0618187696366208</v>
      </c>
      <c r="EV67" s="110">
        <f>IF(SeilBeregnet=0,EV66,(Lwl*0.7+Loa*0.3)^EV$3)</f>
        <v>1.928123583877269</v>
      </c>
      <c r="EW67" s="110">
        <f>IF(SeilBeregnet=0,"-",EW$7*(EY:EY+EW$6)*FB:FB*PropF+ErfaringsF+Dyp_F)</f>
        <v>1.2994394029570444</v>
      </c>
      <c r="EX67" s="144">
        <f t="shared" si="677"/>
        <v>-2.7989681492709639</v>
      </c>
      <c r="EY67" s="110">
        <f>(EZ:EZ*FA:FA)^EY$3</f>
        <v>5.0854477163262244</v>
      </c>
      <c r="EZ67" s="136">
        <f>IF(SeilBeregnet=0,EZ66,(SeilBeregnet^0.5/(Depl^0.3333))^EZ$3)</f>
        <v>4.5105385360268206</v>
      </c>
      <c r="FA67" s="136">
        <f>IF(SeilBeregnet=0,FA66,((Loa+Lwl)/Bredde/6)^FA$3)</f>
        <v>1.1274590995526272</v>
      </c>
      <c r="FB67" s="110">
        <f>IF(SeilBeregnet=0,FB66,(Lwl*0.07+Loa*0.03)^FB$3)</f>
        <v>1.0842635712883086</v>
      </c>
      <c r="FC67" s="110">
        <f>IF(SeilBeregnet=0,"-",FC$7*(FE:FE+FC$6)*FI:FI*PropF+ErfaringsF+Dyp_F)</f>
        <v>1.2579903238562697</v>
      </c>
      <c r="FD67" s="144">
        <f t="shared" si="678"/>
        <v>-6.9438760593484306</v>
      </c>
      <c r="FE67" s="110">
        <f>(FF:FF+FG:FG+FH:FH)^FE$3+FE$7</f>
        <v>6.9863233037910017</v>
      </c>
      <c r="FF67" s="136">
        <f>IF(SeilBeregnet=0,FF66,(SeilBeregnet^0.5/(Depl^0.3333))^FF$3)</f>
        <v>4.5105385360268206</v>
      </c>
      <c r="FG67" s="136">
        <f>IF(SeilBeregnet=0,FG66,(SeilBeregnet^0.5/Lwl*FG$7)^FG$3)</f>
        <v>0.92484615182532082</v>
      </c>
      <c r="FH67" s="136">
        <f>IF(SeilBeregnet=0,FH66,((Loa)/Bredde)^FH$3*FH$7)</f>
        <v>2.0509386159388598</v>
      </c>
      <c r="FI67" s="110">
        <f>IF(SeilBeregnet=0,FI66,(Lwl)^FI$3)</f>
        <v>1.8962676285991491</v>
      </c>
      <c r="FJ67" s="110">
        <f>IF(SeilBeregnet=0,"-",FJ$7*(FL:FL+FJ$6)*FO:FO*PropF+ErfaringsF+Dyp_F)</f>
        <v>1.2924211758922861</v>
      </c>
      <c r="FK67" s="144">
        <f t="shared" si="679"/>
        <v>-3.5007908557467937</v>
      </c>
      <c r="FL67" s="110">
        <f>(FM:FM*FN:FN)^FL$3</f>
        <v>9.2508376622177391</v>
      </c>
      <c r="FM67" s="136">
        <f>IF(SeilBeregnet=0,FM66,(SeilBeregnet^0.5/(Depl^0.3333))^FM$3)</f>
        <v>4.5105385360268206</v>
      </c>
      <c r="FN67" s="136">
        <f>IF(SeilBeregnet=0,FN66,(Loa/Bredde)^FN$3)</f>
        <v>2.0509386159388598</v>
      </c>
      <c r="FO67" s="110">
        <f>IF(SeilBeregnet=0,FO66,Lwl^FO$3)</f>
        <v>1.8962676285991491</v>
      </c>
      <c r="FQ67" s="374">
        <v>1</v>
      </c>
      <c r="FR67" s="64">
        <f t="shared" si="680"/>
        <v>1.5256943306151132</v>
      </c>
      <c r="FS67" s="479"/>
      <c r="FT67" s="18"/>
      <c r="FU67" s="481"/>
      <c r="FV67" s="504"/>
      <c r="FW67" s="18"/>
      <c r="FX67" s="18"/>
      <c r="FY67" s="18"/>
      <c r="FZ67" s="18"/>
      <c r="GB67" s="18"/>
      <c r="GC67" s="481"/>
      <c r="GD67" s="8"/>
      <c r="GE67" s="8"/>
      <c r="GF67" s="8"/>
      <c r="GG67" s="8"/>
      <c r="GI67" s="18"/>
      <c r="GJ67" s="18"/>
      <c r="GK67" s="18"/>
      <c r="GL67" s="18"/>
      <c r="GM67" s="18"/>
      <c r="GN67" s="18"/>
      <c r="GO67" s="18"/>
      <c r="GP67" s="18"/>
    </row>
    <row r="68" spans="1:198" ht="15.6" x14ac:dyDescent="0.3">
      <c r="A68" s="62" t="s">
        <v>259</v>
      </c>
      <c r="B68" s="223"/>
      <c r="C68" s="14" t="str">
        <f>C66</f>
        <v>Bermuda</v>
      </c>
      <c r="G68" s="56"/>
      <c r="H68" s="209">
        <f>TBFavrundet</f>
        <v>128.5</v>
      </c>
      <c r="I68" s="65">
        <f>COUNTA(O68:AD68)</f>
        <v>2</v>
      </c>
      <c r="J68" s="228">
        <f>SUM(O68:AD68)</f>
        <v>116</v>
      </c>
      <c r="K68" s="119">
        <f>Seilareal/Depl^0.667/K$7</f>
        <v>1.5072105644130378</v>
      </c>
      <c r="L68" s="119">
        <f>Seilareal/Lwl/Lwl/L$7</f>
        <v>1.0527806965497035</v>
      </c>
      <c r="M68" s="95">
        <f>RiggF</f>
        <v>1</v>
      </c>
      <c r="N68" s="265">
        <f>StHfaktor</f>
        <v>1.0508666144490193</v>
      </c>
      <c r="O68" s="147"/>
      <c r="P68" s="147"/>
      <c r="Q68" s="147"/>
      <c r="R68" s="147"/>
      <c r="S68" s="147"/>
      <c r="T68" s="169">
        <v>43</v>
      </c>
      <c r="U68" s="148"/>
      <c r="V68" s="148"/>
      <c r="W68" s="148"/>
      <c r="X68" s="148"/>
      <c r="Y68" s="147"/>
      <c r="Z68" s="147"/>
      <c r="AA68" s="147"/>
      <c r="AB68" s="169">
        <v>73</v>
      </c>
      <c r="AC68" s="147"/>
      <c r="AD68" s="148"/>
      <c r="AE68" s="260">
        <f t="shared" si="681"/>
        <v>19.23</v>
      </c>
      <c r="AF68" s="375">
        <f t="shared" ref="AF68" si="693" xml:space="preserve"> AF67</f>
        <v>0</v>
      </c>
      <c r="AG68" s="377"/>
      <c r="AH68" s="375" t="str">
        <f t="shared" ref="AH68" si="694" xml:space="preserve"> AH67</f>
        <v>Alu</v>
      </c>
      <c r="AI68" s="377">
        <v>0.02</v>
      </c>
      <c r="AJ68" s="295" t="str">
        <f t="shared" si="684"/>
        <v>Delt</v>
      </c>
      <c r="AK68" s="47">
        <f>VLOOKUP(AJ68,Skrogform!$1:$1048576,3,FALSE)</f>
        <v>1.02</v>
      </c>
      <c r="AL68" s="66">
        <f t="shared" ref="AL68:AT68" si="695">AL67</f>
        <v>15.9</v>
      </c>
      <c r="AM68" s="66">
        <f t="shared" si="695"/>
        <v>12.93</v>
      </c>
      <c r="AN68" s="66">
        <f t="shared" si="695"/>
        <v>3.78</v>
      </c>
      <c r="AO68" s="66">
        <f t="shared" si="695"/>
        <v>2.65</v>
      </c>
      <c r="AP68" s="66">
        <f t="shared" si="695"/>
        <v>18.64</v>
      </c>
      <c r="AQ68" s="66">
        <f t="shared" si="695"/>
        <v>7.3</v>
      </c>
      <c r="AR68" s="66">
        <f t="shared" si="695"/>
        <v>0</v>
      </c>
      <c r="AS68" s="284">
        <f t="shared" si="695"/>
        <v>48</v>
      </c>
      <c r="AT68" s="284">
        <f t="shared" si="695"/>
        <v>350</v>
      </c>
      <c r="AU68" s="284">
        <f t="shared" ref="AU68:AV68" si="696">AU67</f>
        <v>200</v>
      </c>
      <c r="AV68" s="284">
        <f t="shared" si="696"/>
        <v>200</v>
      </c>
      <c r="AW68" s="284"/>
      <c r="AX68" s="284">
        <f>AX67</f>
        <v>0</v>
      </c>
      <c r="AY68" s="68"/>
      <c r="AZ68" s="68"/>
      <c r="BA68" s="289"/>
      <c r="BB68" s="68"/>
      <c r="BC68" s="179"/>
      <c r="BD68" s="68"/>
      <c r="BE68" s="68"/>
      <c r="BF68" s="67" t="str">
        <f t="shared" ref="BF68:BH68" si="697" xml:space="preserve"> BF67</f>
        <v>Fast</v>
      </c>
      <c r="BG68" s="295">
        <f t="shared" si="697"/>
        <v>2</v>
      </c>
      <c r="BH68" s="295">
        <f t="shared" si="697"/>
        <v>50</v>
      </c>
      <c r="BI68" s="47">
        <f t="shared" si="663"/>
        <v>0.98913998219630206</v>
      </c>
      <c r="BJ68" s="61"/>
      <c r="BK68" s="61"/>
      <c r="BM68" s="51">
        <f t="shared" si="688"/>
        <v>0</v>
      </c>
      <c r="BN68" s="51">
        <f t="shared" si="688"/>
        <v>0</v>
      </c>
      <c r="BO68" s="51">
        <f t="shared" si="688"/>
        <v>0</v>
      </c>
      <c r="BP68" s="51">
        <f t="shared" si="688"/>
        <v>0</v>
      </c>
      <c r="BQ68" s="51">
        <f t="shared" si="688"/>
        <v>0</v>
      </c>
      <c r="BR68" s="51">
        <f t="shared" si="688"/>
        <v>43</v>
      </c>
      <c r="BS68" s="52">
        <f>IF(COUNT(P68:T68)&gt;1,MINA(P68:T68)*BS$9,0)</f>
        <v>0</v>
      </c>
      <c r="BT68" s="88">
        <f t="shared" si="689"/>
        <v>0</v>
      </c>
      <c r="BU68" s="88">
        <f t="shared" si="689"/>
        <v>0</v>
      </c>
      <c r="BV68" s="88">
        <f t="shared" si="689"/>
        <v>0</v>
      </c>
      <c r="BW68" s="88">
        <f t="shared" si="689"/>
        <v>0</v>
      </c>
      <c r="BX68" s="88">
        <f t="shared" si="689"/>
        <v>0</v>
      </c>
      <c r="BY68" s="88">
        <f t="shared" si="689"/>
        <v>0</v>
      </c>
      <c r="BZ68" s="88">
        <f t="shared" si="689"/>
        <v>0</v>
      </c>
      <c r="CA68" s="88">
        <f t="shared" si="689"/>
        <v>73</v>
      </c>
      <c r="CB68" s="88">
        <f t="shared" si="689"/>
        <v>0</v>
      </c>
      <c r="CC68" s="88">
        <f t="shared" si="689"/>
        <v>0</v>
      </c>
      <c r="CD68" s="103">
        <f>SUM(BM68:CC68)</f>
        <v>116</v>
      </c>
      <c r="CE68" s="52"/>
      <c r="CF68" s="107">
        <f>J68</f>
        <v>116</v>
      </c>
      <c r="CG68" s="104">
        <f>CD68/CF68</f>
        <v>1</v>
      </c>
      <c r="CH68" s="53">
        <f>Seilareal/Lwl/Lwl</f>
        <v>0.6938425659255113</v>
      </c>
      <c r="CI68" s="119">
        <f>Seilareal/Depl^0.667/K$7</f>
        <v>1.5072105644130378</v>
      </c>
      <c r="CJ68" s="53">
        <f>Seilareal/Lwl/Lwl/SApRS1</f>
        <v>1.0527806965497035</v>
      </c>
      <c r="CK68" s="209"/>
      <c r="CL68" s="209">
        <f>(ROUND(TBF/CL$6,3)*CL$6)*CL$4</f>
        <v>128.5</v>
      </c>
      <c r="CM68" s="110">
        <f t="shared" si="690"/>
        <v>1.2841806358531407</v>
      </c>
      <c r="CN68" s="64">
        <f>IF(SeilBeregnet=0,"-",(SeilBeregnet)^(1/2)*StHfaktor/(Depl+DeplTillegg/1000+Vann/1000+Diesel/1000*0.84)^(1/3))</f>
        <v>4.2261918404058765</v>
      </c>
      <c r="CO68" s="64">
        <f t="shared" si="659"/>
        <v>1.9528164438810074</v>
      </c>
      <c r="CP68" s="64">
        <f t="shared" si="660"/>
        <v>1.8962676285991491</v>
      </c>
      <c r="CQ68" s="110">
        <f t="shared" si="661"/>
        <v>1.0508666144490193</v>
      </c>
      <c r="CR68" s="172" t="str">
        <f t="shared" si="691"/>
        <v>-</v>
      </c>
      <c r="CS68" s="162"/>
      <c r="CT68" s="172" t="str">
        <f t="shared" si="692"/>
        <v>-</v>
      </c>
      <c r="CU68" s="164"/>
      <c r="CV68" s="195" t="s">
        <v>145</v>
      </c>
      <c r="CW68" s="64">
        <v>1.2</v>
      </c>
      <c r="CX68" s="64">
        <v>1.06</v>
      </c>
      <c r="CY68" s="64">
        <v>1.19</v>
      </c>
      <c r="CZ68" s="154">
        <v>1.22</v>
      </c>
      <c r="DA68" s="64">
        <f t="shared" si="664"/>
        <v>2.1393028854176004</v>
      </c>
      <c r="DB68" s="49">
        <f t="shared" si="665"/>
        <v>14.963297571993223</v>
      </c>
      <c r="DC68" s="50">
        <f t="shared" si="666"/>
        <v>0</v>
      </c>
      <c r="DE68" s="110">
        <f>IF(SeilBeregnet=0,"-",DE$7*(DG:DG+DE$6)*DL:DL*PropF+ErfaringsF+Dyp_F)</f>
        <v>1.1581415941153763</v>
      </c>
      <c r="DF68" s="144">
        <f t="shared" si="667"/>
        <v>-7.6172742537008009</v>
      </c>
      <c r="DG68" s="110">
        <f t="shared" si="668"/>
        <v>6.1134011942779836</v>
      </c>
      <c r="DH68" s="136">
        <f>IF(SeilBeregnet=0,DH67,(SeilBeregnet^0.5/(Depl^0.3333))^DH$3*DH$7)</f>
        <v>4.0624625783391242</v>
      </c>
      <c r="DI68" s="136">
        <f>IF(SeilBeregnet=0,DI67,(SeilBeregnet^0.5/Lwl)^DI$3*DI$7)</f>
        <v>0</v>
      </c>
      <c r="DJ68" s="136">
        <f>IF(SeilBeregnet=0,DJ67,(0.1*Loa/Depl^0.3333)^DJ$3*DJ$7)</f>
        <v>0</v>
      </c>
      <c r="DK68" s="136">
        <f>IF(SeilBeregnet=0,DK67,((Loa)/Bredde)^DK$3*DK$7)</f>
        <v>2.0509386159388598</v>
      </c>
      <c r="DL68" s="110">
        <f>IF(SeilBeregnet=0,DL67,(Lwl)^DL$3)</f>
        <v>1.8962676285991491</v>
      </c>
      <c r="DM68" s="136">
        <f>IF(SeilBeregnet=0,DM67,(Dypg/Loa)^DM$3*5*DM$7)</f>
        <v>2.0412414523193152</v>
      </c>
      <c r="DO68" s="110">
        <f t="shared" si="669"/>
        <v>1.2343143366523843</v>
      </c>
      <c r="DP68" s="110">
        <f t="shared" si="670"/>
        <v>1.1218578752283535</v>
      </c>
      <c r="DQ68" s="125">
        <f>DP68-DO68</f>
        <v>-0.11245646142403087</v>
      </c>
      <c r="DR68" s="110">
        <f t="shared" si="671"/>
        <v>1.1193145674520277</v>
      </c>
      <c r="DS68" s="125">
        <f t="shared" si="672"/>
        <v>-0.11499976920035659</v>
      </c>
      <c r="DT68" s="110">
        <f t="shared" si="673"/>
        <v>1.2076435610881358</v>
      </c>
      <c r="DU68" s="125">
        <f t="shared" si="674"/>
        <v>-2.6670775564248572E-2</v>
      </c>
      <c r="DV68" s="110">
        <f>IF(SeilBeregnet=0,DV67,SeilBeregnet^0.5/Depl^0.33333)</f>
        <v>4.0621060751336824</v>
      </c>
      <c r="DW68" s="110">
        <f>IF(SeilBeregnet=0,DW67,Lwl^0.3333)</f>
        <v>2.346906502982169</v>
      </c>
      <c r="DX68" s="110">
        <f>IF(SeilBeregnet=0,DX67,((Loa+Lwl)/Bredde)^DX$3)</f>
        <v>1.6618361831906654</v>
      </c>
      <c r="DZ68" s="110">
        <f t="shared" si="675"/>
        <v>1.1959219621872632</v>
      </c>
      <c r="EB68" s="110">
        <f>IF(SeilBeregnet=0,EB67,SeilBeregnet^0.5/Depl^0.33333)</f>
        <v>4.0621060751336824</v>
      </c>
      <c r="EC68" s="110">
        <f>IF(SeilBeregnet=0,EC67,Lwl^EC$3)</f>
        <v>2.3470867206509878</v>
      </c>
      <c r="ED68" s="110">
        <f>IF(SeilBeregnet=0,ED67,((Loa+Lwl)/Bredde)^ED$3)</f>
        <v>1.9682859953710667</v>
      </c>
      <c r="EE68" s="110">
        <f t="shared" si="676"/>
        <v>1.1816427665775275</v>
      </c>
      <c r="EG68" s="110">
        <f>IF(SeilBeregnet=0,EG67,(EH68*EI68)^EG$3)</f>
        <v>6.7505548556157731</v>
      </c>
      <c r="EH68" s="110">
        <f>IF(SeilBeregnet=0,EH67,SeilBeregnet^0.5/Depl^0.33333)</f>
        <v>4.0621060751336824</v>
      </c>
      <c r="EI68" s="110">
        <f>IF(SeilBeregnet=0,EI67,((Loa+Lwl)/Bredde)^EI$3)</f>
        <v>1.6618361831906654</v>
      </c>
      <c r="EJ68" s="110">
        <f>IF(SeilBeregnet=0,EJ67,Lwl^EJ$3)</f>
        <v>1.8962676285991491</v>
      </c>
      <c r="EK68" s="110">
        <f>IF(SeilBeregnet=0,"-",EK$7*(EK$4*EM:EM+EK$6)*EP:EP*PropF+ErfaringsF+Dyp_F)</f>
        <v>1.1676259316032294</v>
      </c>
      <c r="EM68" s="110">
        <f>IF(SeilBeregnet=0,EM67,(EN:EN*EO:EO)^EM$3)</f>
        <v>2.0768294284393916</v>
      </c>
      <c r="EN68" s="110">
        <f>IF(SeilBeregnet=0,EN67,SeilBeregnet^0.5/Depl^0.33333)</f>
        <v>4.0621060751336824</v>
      </c>
      <c r="EO68" s="110">
        <f>IF(SeilBeregnet=0,EO67,((Loa+Lwl)/Bredde/6)^EO$3)</f>
        <v>1.0618187696366208</v>
      </c>
      <c r="EP68" s="110">
        <f>IF(SeilBeregnet=0,EP67,(Lwl*0.7+Loa*0.3)^EP$3)</f>
        <v>1.928123583877269</v>
      </c>
      <c r="EQ68" s="110">
        <f>IF(SeilBeregnet=0,"-",EQ$7*(ES:ES+EQ$6)*EV:EV*PropF+ErfaringsF+Dyp_F)</f>
        <v>1.0839031342543046</v>
      </c>
      <c r="ES68" s="110">
        <f>(ET:ET*EU:EU)^ES$3</f>
        <v>2.0769205609812964</v>
      </c>
      <c r="ET68" s="110">
        <f>IF(SeilBeregnet=0,ET67,SeilBeregnet^0.5/Depl^0.3333)</f>
        <v>4.0624625783391242</v>
      </c>
      <c r="EU68" s="110">
        <f>IF(SeilBeregnet=0,EU67,((Loa+Lwl)/Bredde/6)^EU$3)</f>
        <v>1.0618187696366208</v>
      </c>
      <c r="EV68" s="110">
        <f>IF(SeilBeregnet=0,EV67,(Lwl*0.7+Loa*0.3)^EV$3)</f>
        <v>1.928123583877269</v>
      </c>
      <c r="EW68" s="110">
        <f>IF(SeilBeregnet=0,"-",EW$7*(EY:EY+EW$6)*FB:FB*PropF+ErfaringsF+Dyp_F)</f>
        <v>1.2067903100149713</v>
      </c>
      <c r="EX68" s="144">
        <f t="shared" si="677"/>
        <v>-2.7524026637413046</v>
      </c>
      <c r="EY68" s="110">
        <f>(EZ:EZ*FA:FA)^EY$3</f>
        <v>4.5802604005404737</v>
      </c>
      <c r="EZ68" s="136">
        <f>IF(SeilBeregnet=0,EZ67,(SeilBeregnet^0.5/(Depl^0.3333))^EZ$3)</f>
        <v>4.0624625783391242</v>
      </c>
      <c r="FA68" s="136">
        <f>IF(SeilBeregnet=0,FA67,((Loa+Lwl)/Bredde/6)^FA$3)</f>
        <v>1.1274590995526272</v>
      </c>
      <c r="FB68" s="110">
        <f>IF(SeilBeregnet=0,FB67,(Lwl*0.07+Loa*0.03)^FB$3)</f>
        <v>1.0842635712883086</v>
      </c>
      <c r="FC68" s="110">
        <f>IF(SeilBeregnet=0,"-",FC$7*(FE:FE+FC$6)*FI:FI*PropF+ErfaringsF+Dyp_F)</f>
        <v>1.1607643835943617</v>
      </c>
      <c r="FD68" s="144">
        <f t="shared" si="678"/>
        <v>-7.3549953058022588</v>
      </c>
      <c r="FE68" s="110">
        <f>(FF:FF+FG:FG+FH:FH)^FE$3+FE$7</f>
        <v>6.4463733222183563</v>
      </c>
      <c r="FF68" s="136">
        <f>IF(SeilBeregnet=0,FF67,(SeilBeregnet^0.5/(Depl^0.3333))^FF$3)</f>
        <v>4.0624625783391242</v>
      </c>
      <c r="FG68" s="136">
        <f>IF(SeilBeregnet=0,FG67,(SeilBeregnet^0.5/Lwl*FG$7)^FG$3)</f>
        <v>0.83297212794037179</v>
      </c>
      <c r="FH68" s="136">
        <f>IF(SeilBeregnet=0,FH67,((Loa)/Bredde)^FH$3*FH$7)</f>
        <v>2.0509386159388598</v>
      </c>
      <c r="FI68" s="110">
        <f>IF(SeilBeregnet=0,FI67,(Lwl)^FI$3)</f>
        <v>1.8962676285991491</v>
      </c>
      <c r="FJ68" s="110">
        <f>IF(SeilBeregnet=0,"-",FJ$7*(FL:FL+FJ$6)*FO:FO*PropF+ErfaringsF+Dyp_F)</f>
        <v>1.2027887737377194</v>
      </c>
      <c r="FK68" s="144">
        <f t="shared" si="679"/>
        <v>-3.1525562914664906</v>
      </c>
      <c r="FL68" s="110">
        <f>(FM:FM*FN:FN)^FL$3</f>
        <v>8.3318613777222552</v>
      </c>
      <c r="FM68" s="136">
        <f>IF(SeilBeregnet=0,FM67,(SeilBeregnet^0.5/(Depl^0.3333))^FM$3)</f>
        <v>4.0624625783391242</v>
      </c>
      <c r="FN68" s="136">
        <f>IF(SeilBeregnet=0,FN67,(Loa/Bredde)^FN$3)</f>
        <v>2.0509386159388598</v>
      </c>
      <c r="FO68" s="110">
        <f>IF(SeilBeregnet=0,FO67,Lwl^FO$3)</f>
        <v>1.8962676285991491</v>
      </c>
      <c r="FQ68" s="374">
        <v>1</v>
      </c>
      <c r="FR68" s="64">
        <f t="shared" si="680"/>
        <v>1.4462316316426755</v>
      </c>
      <c r="FS68" s="479"/>
      <c r="FT68" s="18"/>
      <c r="FU68" s="481"/>
      <c r="FV68" s="504"/>
      <c r="FW68" s="18"/>
      <c r="FX68" s="18"/>
      <c r="FY68" s="18"/>
      <c r="FZ68" s="18"/>
      <c r="GB68" s="18"/>
      <c r="GC68" s="481"/>
      <c r="GD68" s="8"/>
      <c r="GE68" s="8"/>
      <c r="GF68" s="8"/>
      <c r="GG68" s="8"/>
      <c r="GI68" s="18"/>
      <c r="GJ68" s="18"/>
      <c r="GK68" s="18"/>
      <c r="GL68" s="18"/>
      <c r="GM68" s="18"/>
      <c r="GN68" s="18"/>
      <c r="GO68" s="18"/>
      <c r="GP68" s="18"/>
    </row>
    <row r="69" spans="1:198" ht="15.6" x14ac:dyDescent="0.3">
      <c r="A69" s="54" t="s">
        <v>295</v>
      </c>
      <c r="B69" s="223">
        <f t="shared" si="199"/>
        <v>70.308398950131235</v>
      </c>
      <c r="C69" s="55" t="s">
        <v>41</v>
      </c>
      <c r="D69" s="55"/>
      <c r="E69" s="55"/>
      <c r="F69" s="55"/>
      <c r="G69" s="56"/>
      <c r="H69" s="209"/>
      <c r="I69" s="126" t="str">
        <f>A69</f>
        <v>Anita</v>
      </c>
      <c r="J69" s="229"/>
      <c r="K69" s="119"/>
      <c r="L69" s="119"/>
      <c r="M69" s="95"/>
      <c r="N69" s="265"/>
      <c r="O69" s="169"/>
      <c r="P69" s="169">
        <v>83.17</v>
      </c>
      <c r="Q69" s="169"/>
      <c r="R69" s="169"/>
      <c r="S69" s="169"/>
      <c r="T69" s="169">
        <v>55.6</v>
      </c>
      <c r="U69" s="169"/>
      <c r="V69" s="169"/>
      <c r="W69" s="169"/>
      <c r="X69" s="169"/>
      <c r="Y69" s="169"/>
      <c r="Z69" s="169"/>
      <c r="AA69" s="169"/>
      <c r="AB69" s="169">
        <v>120.36</v>
      </c>
      <c r="AC69" s="169"/>
      <c r="AD69" s="169"/>
      <c r="AE69" s="270">
        <v>22.73</v>
      </c>
      <c r="AF69" s="296"/>
      <c r="AG69" s="377"/>
      <c r="AH69" s="296"/>
      <c r="AI69" s="377"/>
      <c r="AJ69" s="296" t="s">
        <v>240</v>
      </c>
      <c r="AK69" s="47">
        <f>VLOOKUP(AJ69,Skrogform!$1:$1048576,3,FALSE)</f>
        <v>1</v>
      </c>
      <c r="AL69" s="57">
        <v>21.43</v>
      </c>
      <c r="AM69" s="57">
        <v>13.86</v>
      </c>
      <c r="AN69" s="57">
        <v>3.6</v>
      </c>
      <c r="AO69" s="57">
        <v>2.74</v>
      </c>
      <c r="AP69" s="57">
        <v>26.08</v>
      </c>
      <c r="AQ69" s="57">
        <v>14</v>
      </c>
      <c r="AR69" s="57"/>
      <c r="AS69" s="281">
        <v>70</v>
      </c>
      <c r="AT69" s="282">
        <f>AS69*7</f>
        <v>490</v>
      </c>
      <c r="AU69" s="281">
        <f>ROUND(Depl*10,-2)</f>
        <v>300</v>
      </c>
      <c r="AV69" s="281">
        <f>ROUND(Depl*10,-2)</f>
        <v>300</v>
      </c>
      <c r="AW69" s="270">
        <f>Depl+Diesel/1000+Vann/1000</f>
        <v>26.68</v>
      </c>
      <c r="AX69" s="281"/>
      <c r="AY69" s="98">
        <f>Bredde/(Loa+Lwl)*2</f>
        <v>0.20402380277699067</v>
      </c>
      <c r="AZ69" s="98">
        <f>(Kjøl+Ballast)/Depl</f>
        <v>0.53680981595092025</v>
      </c>
      <c r="BA69" s="288">
        <f>BA$7*((Depl-Kjøl-Ballast-VektMotor/1000-VektAnnet/1000)/Loa/Lwl/Bredde)</f>
        <v>0.46898790985728578</v>
      </c>
      <c r="BB69" s="98">
        <f>BB$7*(Depl/Loa/Lwl/Lwl)</f>
        <v>0.47571529498114734</v>
      </c>
      <c r="BC69" s="178">
        <f>BC$7*(Depl/Loa/Lwl/Bredde)</f>
        <v>0.6769867303974556</v>
      </c>
      <c r="BD69" s="98">
        <f>BD$7*Bredde/(Loa+Lwl)*2</f>
        <v>0.58201628899715718</v>
      </c>
      <c r="BE69" s="98">
        <f>BE$7*(Dypg/Lwl)</f>
        <v>1.0812848986762031</v>
      </c>
      <c r="BF69" s="58" t="s">
        <v>24</v>
      </c>
      <c r="BG69" s="296">
        <v>3</v>
      </c>
      <c r="BH69" s="296">
        <v>60</v>
      </c>
      <c r="BI69" s="47">
        <f t="shared" si="663"/>
        <v>1</v>
      </c>
      <c r="BJ69" s="61"/>
      <c r="BK69" s="61"/>
      <c r="BM69" s="214"/>
      <c r="BN69" s="214" t="str">
        <f>$A69</f>
        <v>Anita</v>
      </c>
      <c r="BO69" s="10"/>
      <c r="BP69" s="10"/>
      <c r="BQ69" s="10"/>
      <c r="BR69" s="10"/>
      <c r="BS69" s="52"/>
      <c r="BT69" s="214" t="str">
        <f>$A69</f>
        <v>Anita</v>
      </c>
      <c r="BU69" s="10"/>
      <c r="BV69" s="10"/>
      <c r="BW69" s="10"/>
      <c r="BX69" s="10"/>
      <c r="BY69" s="10"/>
      <c r="BZ69" s="10"/>
      <c r="CA69" s="10"/>
      <c r="CB69" s="10"/>
      <c r="CC69" s="10"/>
      <c r="CD69" s="214"/>
      <c r="CE69" s="10"/>
      <c r="CF69" s="214" t="str">
        <f>$A69</f>
        <v>Anita</v>
      </c>
      <c r="CG69" s="212"/>
      <c r="CH69" s="212"/>
      <c r="CI69" s="119"/>
      <c r="CJ69" s="212"/>
      <c r="CK69" s="208"/>
      <c r="CL69" s="208" t="s">
        <v>26</v>
      </c>
      <c r="CM69" s="110" t="str">
        <f t="shared" si="690"/>
        <v>-</v>
      </c>
      <c r="CN69" s="64" t="str">
        <f>IF(SeilBeregnet=0,"-",(SeilBeregnet)^(1/2)*StHfaktor/(Depl+DeplTillegg/1000+Vann/1000+Diesel/1000*0.84)^(1/3))</f>
        <v>-</v>
      </c>
      <c r="CO69" s="64" t="str">
        <f t="shared" si="659"/>
        <v>-</v>
      </c>
      <c r="CP69" s="64" t="str">
        <f t="shared" si="660"/>
        <v>-</v>
      </c>
      <c r="CQ69" s="110" t="str">
        <f t="shared" si="661"/>
        <v>-</v>
      </c>
      <c r="CR69" s="172" t="str">
        <f t="shared" si="691"/>
        <v>-</v>
      </c>
      <c r="CS69" s="162"/>
      <c r="CT69" s="172" t="str">
        <f t="shared" si="692"/>
        <v>-</v>
      </c>
      <c r="CU69" s="164"/>
      <c r="CV69" s="195" t="s">
        <v>145</v>
      </c>
      <c r="CW69" s="30" t="s">
        <v>26</v>
      </c>
      <c r="CX69" s="30" t="s">
        <v>26</v>
      </c>
      <c r="CY69" s="30" t="s">
        <v>26</v>
      </c>
      <c r="CZ69" s="153">
        <v>2022</v>
      </c>
      <c r="DA69" s="64" t="str">
        <f t="shared" si="664"/>
        <v>-</v>
      </c>
      <c r="DB69" s="49">
        <f t="shared" si="665"/>
        <v>14.842903575297942</v>
      </c>
      <c r="DC69" s="50">
        <f t="shared" si="666"/>
        <v>0</v>
      </c>
      <c r="DE69" s="110" t="str">
        <f>IF(SeilBeregnet=0,"-",DE$7*(DG:DG+DE$6)*DL:DL*PropF+ErfaringsF+Dyp_F)</f>
        <v>-</v>
      </c>
      <c r="DF69" s="144" t="str">
        <f t="shared" si="667"/>
        <v>-</v>
      </c>
      <c r="DG69" s="110" t="e">
        <f t="shared" si="668"/>
        <v>#REF!</v>
      </c>
      <c r="DH69" s="136" t="e">
        <f>IF(SeilBeregnet=0,DH27,(SeilBeregnet^0.5/(Depl^0.3333))^DH$3*DH$7)</f>
        <v>#REF!</v>
      </c>
      <c r="DI69" s="136" t="e">
        <f>IF(SeilBeregnet=0,DI27,(SeilBeregnet^0.5/Lwl)^DI$3*DI$7)</f>
        <v>#REF!</v>
      </c>
      <c r="DJ69" s="136" t="e">
        <f>IF(SeilBeregnet=0,DJ27,(0.1*Loa/Depl^0.3333)^DJ$3*DJ$7)</f>
        <v>#REF!</v>
      </c>
      <c r="DK69" s="136" t="e">
        <f>IF(SeilBeregnet=0,DK27,((Loa)/Bredde)^DK$3*DK$7)</f>
        <v>#REF!</v>
      </c>
      <c r="DL69" s="110" t="e">
        <f>IF(SeilBeregnet=0,DL27,(Lwl)^DL$3)</f>
        <v>#REF!</v>
      </c>
      <c r="DM69" s="136" t="e">
        <f>IF(SeilBeregnet=0,DM27,(Dypg/Loa)^DM$3*5*DM$7)</f>
        <v>#REF!</v>
      </c>
      <c r="DO69" s="110" t="str">
        <f t="shared" si="669"/>
        <v>-</v>
      </c>
      <c r="DP69" s="110" t="str">
        <f t="shared" si="670"/>
        <v>-</v>
      </c>
      <c r="DR69" s="110" t="str">
        <f t="shared" si="671"/>
        <v>-</v>
      </c>
      <c r="DS69" s="125" t="str">
        <f t="shared" si="672"/>
        <v>-</v>
      </c>
      <c r="DT69" s="110" t="str">
        <f t="shared" si="673"/>
        <v>-</v>
      </c>
      <c r="DU69" s="125" t="str">
        <f t="shared" si="674"/>
        <v>-</v>
      </c>
      <c r="DV69" s="110" t="e">
        <f>IF(SeilBeregnet=0,DV27,SeilBeregnet^0.5/Depl^0.33333)</f>
        <v>#REF!</v>
      </c>
      <c r="DW69" s="110" t="e">
        <f>IF(SeilBeregnet=0,DW27,Lwl^0.3333)</f>
        <v>#REF!</v>
      </c>
      <c r="DX69" s="110" t="e">
        <f>IF(SeilBeregnet=0,DX27,((Loa+Lwl)/Bredde)^DX$3)</f>
        <v>#REF!</v>
      </c>
      <c r="DZ69" s="110" t="str">
        <f t="shared" si="675"/>
        <v>-</v>
      </c>
      <c r="EB69" s="110" t="e">
        <f>IF(SeilBeregnet=0,EB27,SeilBeregnet^0.5/Depl^0.33333)</f>
        <v>#REF!</v>
      </c>
      <c r="EC69" s="110" t="e">
        <f>IF(SeilBeregnet=0,EC27,Lwl^EC$3)</f>
        <v>#REF!</v>
      </c>
      <c r="ED69" s="110" t="e">
        <f>IF(SeilBeregnet=0,ED27,((Loa+Lwl)/Bredde)^ED$3)</f>
        <v>#REF!</v>
      </c>
      <c r="EE69" s="110" t="str">
        <f t="shared" si="676"/>
        <v>-</v>
      </c>
      <c r="EG69" s="110" t="e">
        <f>IF(SeilBeregnet=0,EG27,(EH69*EI69)^EG$3)</f>
        <v>#REF!</v>
      </c>
      <c r="EH69" s="110" t="e">
        <f>IF(SeilBeregnet=0,EH27,SeilBeregnet^0.5/Depl^0.33333)</f>
        <v>#REF!</v>
      </c>
      <c r="EI69" s="110" t="e">
        <f>IF(SeilBeregnet=0,EI27,((Loa+Lwl)/Bredde)^EI$3)</f>
        <v>#REF!</v>
      </c>
      <c r="EJ69" s="110" t="e">
        <f>IF(SeilBeregnet=0,EJ27,Lwl^EJ$3)</f>
        <v>#REF!</v>
      </c>
      <c r="EK69" s="110" t="str">
        <f>IF(SeilBeregnet=0,"-",EK$7*(EK$4*EM:EM+EK$6)*EP:EP*PropF+ErfaringsF+Dyp_F)</f>
        <v>-</v>
      </c>
      <c r="EM69" s="110" t="e">
        <f>IF(SeilBeregnet=0,EM27,(EN:EN*EO:EO)^EM$3)</f>
        <v>#REF!</v>
      </c>
      <c r="EN69" s="110" t="e">
        <f>IF(SeilBeregnet=0,EN27,SeilBeregnet^0.5/Depl^0.33333)</f>
        <v>#REF!</v>
      </c>
      <c r="EO69" s="110" t="e">
        <f>IF(SeilBeregnet=0,EO27,((Loa+Lwl)/Bredde/6)^EO$3)</f>
        <v>#REF!</v>
      </c>
      <c r="EP69" s="110" t="e">
        <f>IF(SeilBeregnet=0,EP27,(Lwl*0.7+Loa*0.3)^EP$3)</f>
        <v>#REF!</v>
      </c>
      <c r="EQ69" s="110" t="str">
        <f>IF(SeilBeregnet=0,"-",EQ$7*(ES:ES+EQ$6)*EV:EV*PropF+ErfaringsF+Dyp_F)</f>
        <v>-</v>
      </c>
      <c r="ES69" s="110" t="e">
        <f>(ET:ET*EU:EU)^ES$3</f>
        <v>#REF!</v>
      </c>
      <c r="ET69" s="110" t="e">
        <f>IF(SeilBeregnet=0,ET27,SeilBeregnet^0.5/Depl^0.3333)</f>
        <v>#REF!</v>
      </c>
      <c r="EU69" s="110" t="e">
        <f>IF(SeilBeregnet=0,EU27,((Loa+Lwl)/Bredde/6)^EU$3)</f>
        <v>#REF!</v>
      </c>
      <c r="EV69" s="110" t="e">
        <f>IF(SeilBeregnet=0,EV27,(Lwl*0.7+Loa*0.3)^EV$3)</f>
        <v>#REF!</v>
      </c>
      <c r="EW69" s="110" t="str">
        <f>IF(SeilBeregnet=0,"-",EW$7*(EY:EY+EW$6)*FB:FB*PropF+ErfaringsF+Dyp_F)</f>
        <v>-</v>
      </c>
      <c r="EX69" s="144" t="str">
        <f t="shared" si="677"/>
        <v>-</v>
      </c>
      <c r="EY69" s="110" t="e">
        <f>(EZ:EZ*FA:FA)^EY$3</f>
        <v>#REF!</v>
      </c>
      <c r="EZ69" s="136" t="e">
        <f>IF(SeilBeregnet=0,EZ27,(SeilBeregnet^0.5/(Depl^0.3333))^EZ$3)</f>
        <v>#REF!</v>
      </c>
      <c r="FA69" s="136" t="e">
        <f>IF(SeilBeregnet=0,FA27,((Loa+Lwl)/Bredde/6)^FA$3)</f>
        <v>#REF!</v>
      </c>
      <c r="FB69" s="110" t="e">
        <f>IF(SeilBeregnet=0,FB27,(Lwl*0.07+Loa*0.03)^FB$3)</f>
        <v>#REF!</v>
      </c>
      <c r="FC69" s="110" t="str">
        <f>IF(SeilBeregnet=0,"-",FC$7*(FE:FE+FC$6)*FI:FI*PropF+ErfaringsF+Dyp_F)</f>
        <v>-</v>
      </c>
      <c r="FD69" s="144" t="str">
        <f t="shared" si="678"/>
        <v>-</v>
      </c>
      <c r="FE69" s="110" t="e">
        <f>(FF:FF+FG:FG+FH:FH)^FE$3+FE$7</f>
        <v>#REF!</v>
      </c>
      <c r="FF69" s="136" t="e">
        <f>IF(SeilBeregnet=0,FF27,(SeilBeregnet^0.5/(Depl^0.3333))^FF$3)</f>
        <v>#REF!</v>
      </c>
      <c r="FG69" s="136" t="e">
        <f>IF(SeilBeregnet=0,FG27,(SeilBeregnet^0.5/Lwl*FG$7)^FG$3)</f>
        <v>#REF!</v>
      </c>
      <c r="FH69" s="136" t="e">
        <f>IF(SeilBeregnet=0,FH27,((Loa)/Bredde)^FH$3*FH$7)</f>
        <v>#REF!</v>
      </c>
      <c r="FI69" s="110" t="e">
        <f>IF(SeilBeregnet=0,FI27,(Lwl)^FI$3)</f>
        <v>#REF!</v>
      </c>
      <c r="FJ69" s="110" t="str">
        <f>IF(SeilBeregnet=0,"-",FJ$7*(FL:FL+FJ$6)*FO:FO*PropF+ErfaringsF+Dyp_F)</f>
        <v>-</v>
      </c>
      <c r="FK69" s="144" t="str">
        <f t="shared" si="679"/>
        <v>-</v>
      </c>
      <c r="FL69" s="110" t="e">
        <f>(FM:FM*FN:FN)^FL$3</f>
        <v>#REF!</v>
      </c>
      <c r="FM69" s="136" t="e">
        <f>IF(SeilBeregnet=0,FM27,(SeilBeregnet^0.5/(Depl^0.3333))^FM$3)</f>
        <v>#REF!</v>
      </c>
      <c r="FN69" s="136" t="e">
        <f>IF(SeilBeregnet=0,FN27,(Loa/Bredde)^FN$3)</f>
        <v>#REF!</v>
      </c>
      <c r="FO69" s="110" t="e">
        <f>IF(SeilBeregnet=0,FO27,Lwl^FO$3)</f>
        <v>#REF!</v>
      </c>
      <c r="FP69" s="569">
        <v>1.62</v>
      </c>
      <c r="FQ69" s="374">
        <v>1</v>
      </c>
      <c r="FR69" s="64" t="str">
        <f t="shared" si="680"/>
        <v>-</v>
      </c>
      <c r="FS69" s="480" t="s">
        <v>531</v>
      </c>
      <c r="FT69" s="59" t="s">
        <v>474</v>
      </c>
      <c r="FU69" s="55" t="s">
        <v>526</v>
      </c>
      <c r="FV69" s="506" t="s">
        <v>475</v>
      </c>
      <c r="FW69" s="59" t="s">
        <v>699</v>
      </c>
      <c r="FX69" s="59"/>
      <c r="FY69" s="59" t="s">
        <v>455</v>
      </c>
      <c r="FZ69" s="59" t="s">
        <v>677</v>
      </c>
      <c r="GB69" s="59" t="s">
        <v>522</v>
      </c>
      <c r="GC69" s="475" t="s">
        <v>522</v>
      </c>
      <c r="GD69" s="60" t="s">
        <v>522</v>
      </c>
      <c r="GE69" s="60" t="s">
        <v>522</v>
      </c>
      <c r="GF69" s="60" t="s">
        <v>522</v>
      </c>
      <c r="GG69" s="60" t="s">
        <v>522</v>
      </c>
      <c r="GI69" s="59" t="s">
        <v>234</v>
      </c>
      <c r="GJ69" s="59" t="s">
        <v>473</v>
      </c>
      <c r="GK69" s="59" t="s">
        <v>476</v>
      </c>
      <c r="GL69" s="59" t="s">
        <v>478</v>
      </c>
      <c r="GM69" s="59">
        <v>1938</v>
      </c>
      <c r="GN69" s="59" t="s">
        <v>470</v>
      </c>
      <c r="GO69" s="59" t="s">
        <v>477</v>
      </c>
      <c r="GP69" s="59" t="s">
        <v>522</v>
      </c>
    </row>
    <row r="70" spans="1:198" ht="15.6" x14ac:dyDescent="0.3">
      <c r="A70" s="62" t="s">
        <v>71</v>
      </c>
      <c r="B70" s="223"/>
      <c r="C70" s="63" t="str">
        <f>C69</f>
        <v>Bermuda</v>
      </c>
      <c r="D70" s="63"/>
      <c r="E70" s="63"/>
      <c r="F70" s="63"/>
      <c r="G70" s="56"/>
      <c r="H70" s="209">
        <f>TBFavrundet</f>
        <v>149.5</v>
      </c>
      <c r="I70" s="65">
        <f>COUNTA(O70:AD70)</f>
        <v>2</v>
      </c>
      <c r="J70" s="228">
        <f>SUM(O70:AD70)</f>
        <v>203.53</v>
      </c>
      <c r="K70" s="119">
        <f>Seilareal/Depl^0.667/K$7</f>
        <v>2.1137549273626459</v>
      </c>
      <c r="L70" s="119">
        <f>Seilareal/Lwl/Lwl/L$7</f>
        <v>1.6076035103370503</v>
      </c>
      <c r="M70" s="95">
        <f>RiggF</f>
        <v>1</v>
      </c>
      <c r="N70" s="265">
        <f>StHfaktor</f>
        <v>1.0637866251253518</v>
      </c>
      <c r="O70" s="147"/>
      <c r="P70" s="169">
        <v>83.17</v>
      </c>
      <c r="Q70" s="147"/>
      <c r="R70" s="147"/>
      <c r="S70" s="147"/>
      <c r="T70" s="147"/>
      <c r="U70" s="148"/>
      <c r="V70" s="148"/>
      <c r="W70" s="148"/>
      <c r="X70" s="148"/>
      <c r="Y70" s="147"/>
      <c r="Z70" s="147"/>
      <c r="AA70" s="147"/>
      <c r="AB70" s="169">
        <v>120.36</v>
      </c>
      <c r="AC70" s="147"/>
      <c r="AD70" s="148"/>
      <c r="AE70" s="260">
        <f t="shared" ref="AE70" si="698">AE69</f>
        <v>22.73</v>
      </c>
      <c r="AF70" s="375">
        <f t="shared" ref="AF70:AH71" si="699" xml:space="preserve"> AF69</f>
        <v>0</v>
      </c>
      <c r="AG70" s="377"/>
      <c r="AH70" s="375">
        <f t="shared" si="699"/>
        <v>0</v>
      </c>
      <c r="AI70" s="377"/>
      <c r="AJ70" s="295" t="str">
        <f t="shared" ref="AJ70:AJ71" si="700" xml:space="preserve"> AJ69</f>
        <v>Meter</v>
      </c>
      <c r="AK70" s="47">
        <f>VLOOKUP(AJ70,Skrogform!$1:$1048576,3,FALSE)</f>
        <v>1</v>
      </c>
      <c r="AL70" s="66">
        <f t="shared" ref="AL70:AT70" si="701">AL69</f>
        <v>21.43</v>
      </c>
      <c r="AM70" s="66">
        <f t="shared" si="701"/>
        <v>13.86</v>
      </c>
      <c r="AN70" s="66">
        <f t="shared" si="701"/>
        <v>3.6</v>
      </c>
      <c r="AO70" s="66">
        <f t="shared" si="701"/>
        <v>2.74</v>
      </c>
      <c r="AP70" s="66">
        <f t="shared" si="701"/>
        <v>26.08</v>
      </c>
      <c r="AQ70" s="66">
        <f t="shared" si="701"/>
        <v>14</v>
      </c>
      <c r="AR70" s="66">
        <f t="shared" si="701"/>
        <v>0</v>
      </c>
      <c r="AS70" s="284">
        <f t="shared" si="701"/>
        <v>70</v>
      </c>
      <c r="AT70" s="284">
        <f t="shared" si="701"/>
        <v>490</v>
      </c>
      <c r="AU70" s="284">
        <f t="shared" ref="AU70:AV70" si="702">AU69</f>
        <v>300</v>
      </c>
      <c r="AV70" s="284">
        <f t="shared" si="702"/>
        <v>300</v>
      </c>
      <c r="AW70" s="284"/>
      <c r="AX70" s="284">
        <f>AX69</f>
        <v>0</v>
      </c>
      <c r="AY70" s="68"/>
      <c r="AZ70" s="68"/>
      <c r="BA70" s="289"/>
      <c r="BB70" s="68"/>
      <c r="BC70" s="179"/>
      <c r="BD70" s="68"/>
      <c r="BE70" s="68"/>
      <c r="BF70" s="67" t="str">
        <f t="shared" ref="BF70:BH70" si="703" xml:space="preserve"> BF69</f>
        <v>Seilrett</v>
      </c>
      <c r="BG70" s="295">
        <f t="shared" si="703"/>
        <v>3</v>
      </c>
      <c r="BH70" s="295">
        <f t="shared" si="703"/>
        <v>60</v>
      </c>
      <c r="BI70" s="47">
        <f t="shared" si="663"/>
        <v>1</v>
      </c>
      <c r="BJ70" s="61"/>
      <c r="BK70" s="61"/>
      <c r="BM70" s="51">
        <f t="shared" ref="BM70:BR71" si="704">IF(O70=0,0,O70*BM$9)</f>
        <v>0</v>
      </c>
      <c r="BN70" s="51">
        <f t="shared" si="704"/>
        <v>83.17</v>
      </c>
      <c r="BO70" s="51">
        <f t="shared" si="704"/>
        <v>0</v>
      </c>
      <c r="BP70" s="51">
        <f t="shared" si="704"/>
        <v>0</v>
      </c>
      <c r="BQ70" s="51">
        <f t="shared" si="704"/>
        <v>0</v>
      </c>
      <c r="BR70" s="51">
        <f t="shared" si="704"/>
        <v>0</v>
      </c>
      <c r="BS70" s="52">
        <f>IF(COUNT(P70:T70)&gt;1,MINA(P70:T70)*BS$9,0)</f>
        <v>0</v>
      </c>
      <c r="BT70" s="88">
        <f t="shared" ref="BT70:CC71" si="705">IF(U70=0,0,U70*BT$9)</f>
        <v>0</v>
      </c>
      <c r="BU70" s="88">
        <f t="shared" si="705"/>
        <v>0</v>
      </c>
      <c r="BV70" s="88">
        <f t="shared" si="705"/>
        <v>0</v>
      </c>
      <c r="BW70" s="88">
        <f t="shared" si="705"/>
        <v>0</v>
      </c>
      <c r="BX70" s="88">
        <f t="shared" si="705"/>
        <v>0</v>
      </c>
      <c r="BY70" s="88">
        <f t="shared" si="705"/>
        <v>0</v>
      </c>
      <c r="BZ70" s="88">
        <f t="shared" si="705"/>
        <v>0</v>
      </c>
      <c r="CA70" s="88">
        <f t="shared" si="705"/>
        <v>120.36</v>
      </c>
      <c r="CB70" s="88">
        <f t="shared" si="705"/>
        <v>0</v>
      </c>
      <c r="CC70" s="88">
        <f t="shared" si="705"/>
        <v>0</v>
      </c>
      <c r="CD70" s="103">
        <f>SUM(BM70:CC70)</f>
        <v>203.53</v>
      </c>
      <c r="CE70" s="52"/>
      <c r="CF70" s="107">
        <f>J70</f>
        <v>203.53</v>
      </c>
      <c r="CG70" s="104">
        <f>CD70/CF70</f>
        <v>1</v>
      </c>
      <c r="CH70" s="53">
        <f>Seilareal/Lwl/Lwl</f>
        <v>1.0595024664288735</v>
      </c>
      <c r="CI70" s="119">
        <f>Seilareal/Depl^0.667/K$7</f>
        <v>2.1137549273626459</v>
      </c>
      <c r="CJ70" s="53">
        <f>Seilareal/Lwl/Lwl/SApRS1</f>
        <v>1.6076035103370503</v>
      </c>
      <c r="CK70" s="209"/>
      <c r="CL70" s="209">
        <f>(ROUND(TBF/CL$6,3)*CL$6)*CL$4</f>
        <v>149.5</v>
      </c>
      <c r="CM70" s="110">
        <f t="shared" si="690"/>
        <v>1.4966328259074453</v>
      </c>
      <c r="CN70" s="64">
        <f>IF(SeilBeregnet=0,"-",(SeilBeregnet)^(1/2)*StHfaktor/(Depl+DeplTillegg/1000+Vann/1000+Diesel/1000*0.84)^(1/3))</f>
        <v>5.0693357972847233</v>
      </c>
      <c r="CO70" s="64">
        <f t="shared" si="659"/>
        <v>2.2139080579122723</v>
      </c>
      <c r="CP70" s="64">
        <f t="shared" si="660"/>
        <v>1.929482338296274</v>
      </c>
      <c r="CQ70" s="110">
        <f t="shared" si="661"/>
        <v>1.0637866251253518</v>
      </c>
      <c r="CR70" s="172" t="str">
        <f t="shared" si="691"/>
        <v>-</v>
      </c>
      <c r="CS70" s="163">
        <f>CS69</f>
        <v>0</v>
      </c>
      <c r="CT70" s="172" t="str">
        <f t="shared" si="692"/>
        <v>-</v>
      </c>
      <c r="CU70" s="163">
        <f>CU69</f>
        <v>0</v>
      </c>
      <c r="CV70" s="195" t="s">
        <v>145</v>
      </c>
      <c r="CW70" s="64" t="s">
        <v>111</v>
      </c>
      <c r="CX70" s="64" t="s">
        <v>111</v>
      </c>
      <c r="CY70" s="64" t="s">
        <v>111</v>
      </c>
      <c r="CZ70" s="154" t="s">
        <v>111</v>
      </c>
      <c r="DA70" s="64">
        <f t="shared" si="664"/>
        <v>2.0885556844678113</v>
      </c>
      <c r="DB70" s="49">
        <f t="shared" si="665"/>
        <v>14.842903575297942</v>
      </c>
      <c r="DC70" s="50">
        <f t="shared" si="666"/>
        <v>0</v>
      </c>
      <c r="DE70" s="110">
        <f>IF(SeilBeregnet=0,"-",DE$7*(DG:DG+DE$6)*DL:DL*PropF+ErfaringsF+Dyp_F)</f>
        <v>1.4130763051968507</v>
      </c>
      <c r="DF70" s="144" t="str">
        <f t="shared" si="667"/>
        <v>-</v>
      </c>
      <c r="DG70" s="110">
        <f t="shared" si="668"/>
        <v>7.2510922899938981</v>
      </c>
      <c r="DH70" s="136">
        <f>IF(SeilBeregnet=0,DH69,(SeilBeregnet^0.5/(Depl^0.3333))^DH$3*DH$7)</f>
        <v>4.811260783971858</v>
      </c>
      <c r="DI70" s="136">
        <f>IF(SeilBeregnet=0,DI69,(SeilBeregnet^0.5/Lwl)^DI$3*DI$7)</f>
        <v>0</v>
      </c>
      <c r="DJ70" s="136">
        <f>IF(SeilBeregnet=0,DJ69,(0.1*Loa/Depl^0.3333)^DJ$3*DJ$7)</f>
        <v>0</v>
      </c>
      <c r="DK70" s="136">
        <f>IF(SeilBeregnet=0,DK69,((Loa)/Bredde)^DK$3*DK$7)</f>
        <v>2.4398315060220401</v>
      </c>
      <c r="DL70" s="110">
        <f>IF(SeilBeregnet=0,DL69,(Lwl)^DL$3)</f>
        <v>1.929482338296274</v>
      </c>
      <c r="DM70" s="136">
        <f>IF(SeilBeregnet=0,DM69,(Dypg/Loa)^DM$3*5*DM$7)</f>
        <v>1.7878628498187483</v>
      </c>
      <c r="DO70" s="110">
        <f t="shared" si="669"/>
        <v>1.4966328259074455</v>
      </c>
      <c r="DP70" s="110">
        <f t="shared" si="670"/>
        <v>1.4438616992790869</v>
      </c>
      <c r="DR70" s="110">
        <f t="shared" si="671"/>
        <v>1.4296579900126738</v>
      </c>
      <c r="DS70" s="125" t="str">
        <f t="shared" si="672"/>
        <v>-</v>
      </c>
      <c r="DT70" s="110">
        <f t="shared" si="673"/>
        <v>1.506871213857319</v>
      </c>
      <c r="DU70" s="125" t="str">
        <f t="shared" si="674"/>
        <v>-</v>
      </c>
      <c r="DV70" s="110">
        <f>IF(SeilBeregnet=0,DV69,SeilBeregnet^0.5/Depl^0.33333)</f>
        <v>4.8107900969994413</v>
      </c>
      <c r="DW70" s="110">
        <f>IF(SeilBeregnet=0,DW69,Lwl^0.3333)</f>
        <v>2.4018710337482303</v>
      </c>
      <c r="DX70" s="110">
        <f>IF(SeilBeregnet=0,DX69,((Loa+Lwl)/Bredde)^DX$3)</f>
        <v>1.7694459023509632</v>
      </c>
      <c r="DZ70" s="110">
        <f t="shared" si="675"/>
        <v>1.4962176181775908</v>
      </c>
      <c r="EB70" s="110">
        <f>IF(SeilBeregnet=0,EB69,SeilBeregnet^0.5/Depl^0.33333)</f>
        <v>4.8107900969994413</v>
      </c>
      <c r="EC70" s="110">
        <f>IF(SeilBeregnet=0,EC69,Lwl^EC$3)</f>
        <v>2.4020604772912337</v>
      </c>
      <c r="ED70" s="110">
        <f>IF(SeilBeregnet=0,ED69,((Loa+Lwl)/Bredde)^ED$3)</f>
        <v>2.1400142942095619</v>
      </c>
      <c r="EE70" s="110">
        <f t="shared" si="676"/>
        <v>1.460283782810933</v>
      </c>
      <c r="EG70" s="110">
        <f>IF(SeilBeregnet=0,EG69,(EH70*EI70)^EG$3)</f>
        <v>8.5124328242062539</v>
      </c>
      <c r="EH70" s="110">
        <f>IF(SeilBeregnet=0,EH69,SeilBeregnet^0.5/Depl^0.33333)</f>
        <v>4.8107900969994413</v>
      </c>
      <c r="EI70" s="110">
        <f>IF(SeilBeregnet=0,EI69,((Loa+Lwl)/Bredde)^EI$3)</f>
        <v>1.7694459023509632</v>
      </c>
      <c r="EJ70" s="110">
        <f>IF(SeilBeregnet=0,EJ69,Lwl^EJ$3)</f>
        <v>1.929482338296274</v>
      </c>
      <c r="EK70" s="110">
        <f>IF(SeilBeregnet=0,"-",EK$7*(EK$4*EM:EM+EK$6)*EP:EP*PropF+ErfaringsF+Dyp_F)</f>
        <v>1.4256227022377452</v>
      </c>
      <c r="EM70" s="110">
        <f>IF(SeilBeregnet=0,EM69,(EN:EN*EO:EO)^EM$3)</f>
        <v>2.3321578534452185</v>
      </c>
      <c r="EN70" s="110">
        <f>IF(SeilBeregnet=0,EN69,SeilBeregnet^0.5/Depl^0.33333)</f>
        <v>4.8107900969994413</v>
      </c>
      <c r="EO70" s="110">
        <f>IF(SeilBeregnet=0,EO69,((Loa+Lwl)/Bredde/6)^EO$3)</f>
        <v>1.1305752576439712</v>
      </c>
      <c r="EP70" s="110">
        <f>IF(SeilBeregnet=0,EP69,(Lwl*0.7+Loa*0.3)^EP$3)</f>
        <v>2.004081240602865</v>
      </c>
      <c r="EQ70" s="110">
        <f>IF(SeilBeregnet=0,"-",EQ$7*(ES:ES+EQ$6)*EV:EV*PropF+ErfaringsF+Dyp_F)</f>
        <v>1.2790056785464656</v>
      </c>
      <c r="ES70" s="110">
        <f>(ET:ET*EU:EU)^ES$3</f>
        <v>2.3322719396398264</v>
      </c>
      <c r="ET70" s="110">
        <f>IF(SeilBeregnet=0,ET69,SeilBeregnet^0.5/Depl^0.3333)</f>
        <v>4.811260783971858</v>
      </c>
      <c r="EU70" s="110">
        <f>IF(SeilBeregnet=0,EU69,((Loa+Lwl)/Bredde/6)^EU$3)</f>
        <v>1.1305752576439712</v>
      </c>
      <c r="EV70" s="110">
        <f>IF(SeilBeregnet=0,EV69,(Lwl*0.7+Loa*0.3)^EV$3)</f>
        <v>2.004081240602865</v>
      </c>
      <c r="EW70" s="110">
        <f>IF(SeilBeregnet=0,"-",EW$7*(EY:EY+EW$6)*FB:FB*PropF+ErfaringsF+Dyp_F)</f>
        <v>1.5705653583616461</v>
      </c>
      <c r="EX70" s="144" t="str">
        <f t="shared" si="677"/>
        <v>-</v>
      </c>
      <c r="EY70" s="110">
        <f>(EZ:EZ*FA:FA)^EY$3</f>
        <v>6.1497555220700617</v>
      </c>
      <c r="EZ70" s="136">
        <f>IF(SeilBeregnet=0,EZ69,(SeilBeregnet^0.5/(Depl^0.3333))^EZ$3)</f>
        <v>4.811260783971858</v>
      </c>
      <c r="FA70" s="136">
        <f>IF(SeilBeregnet=0,FA69,((Loa+Lwl)/Bredde/6)^FA$3)</f>
        <v>1.2782004131967319</v>
      </c>
      <c r="FB70" s="110">
        <f>IF(SeilBeregnet=0,FB69,(Lwl*0.07+Loa*0.03)^FB$3)</f>
        <v>1.1269777006297337</v>
      </c>
      <c r="FC70" s="110">
        <f>IF(SeilBeregnet=0,"-",FC$7*(FE:FE+FC$6)*FI:FI*PropF+ErfaringsF+Dyp_F)</f>
        <v>1.4411683897258349</v>
      </c>
      <c r="FD70" s="144" t="str">
        <f t="shared" si="678"/>
        <v>-</v>
      </c>
      <c r="FE70" s="110">
        <f>(FF:FF+FG:FG+FH:FH)^FE$3+FE$7</f>
        <v>7.7804136520712976</v>
      </c>
      <c r="FF70" s="136">
        <f>IF(SeilBeregnet=0,FF69,(SeilBeregnet^0.5/(Depl^0.3333))^FF$3)</f>
        <v>4.811260783971858</v>
      </c>
      <c r="FG70" s="136">
        <f>IF(SeilBeregnet=0,FG69,(SeilBeregnet^0.5/Lwl*FG$7)^FG$3)</f>
        <v>1.0293213620773998</v>
      </c>
      <c r="FH70" s="136">
        <f>IF(SeilBeregnet=0,FH69,((Loa)/Bredde)^FH$3*FH$7)</f>
        <v>2.4398315060220401</v>
      </c>
      <c r="FI70" s="110">
        <f>IF(SeilBeregnet=0,FI69,(Lwl)^FI$3)</f>
        <v>1.929482338296274</v>
      </c>
      <c r="FJ70" s="110">
        <f>IF(SeilBeregnet=0,"-",FJ$7*(FL:FL+FJ$6)*FO:FO*PropF+ErfaringsF+Dyp_F)</f>
        <v>1.5791088242417393</v>
      </c>
      <c r="FK70" s="144" t="str">
        <f t="shared" si="679"/>
        <v>-</v>
      </c>
      <c r="FL70" s="110">
        <f>(FM:FM*FN:FN)^FL$3</f>
        <v>11.73866564442284</v>
      </c>
      <c r="FM70" s="136">
        <f>IF(SeilBeregnet=0,FM69,(SeilBeregnet^0.5/(Depl^0.3333))^FM$3)</f>
        <v>4.811260783971858</v>
      </c>
      <c r="FN70" s="136">
        <f>IF(SeilBeregnet=0,FN69,(Loa/Bredde)^FN$3)</f>
        <v>2.4398315060220401</v>
      </c>
      <c r="FO70" s="110">
        <f>IF(SeilBeregnet=0,FO69,Lwl^FO$3)</f>
        <v>1.929482338296274</v>
      </c>
      <c r="FQ70" s="374">
        <v>1</v>
      </c>
      <c r="FR70" s="64">
        <f t="shared" si="680"/>
        <v>1.6311289554393189</v>
      </c>
      <c r="FS70" s="479"/>
      <c r="FT70" s="18"/>
      <c r="FU70" s="481"/>
      <c r="FV70" s="504"/>
      <c r="FW70" s="18"/>
      <c r="FX70" s="18"/>
      <c r="FY70" s="18"/>
      <c r="FZ70" s="18"/>
      <c r="GB70" s="18"/>
      <c r="GC70" s="481"/>
      <c r="GD70" s="8"/>
      <c r="GE70" s="8"/>
      <c r="GF70" s="8"/>
      <c r="GG70" s="8"/>
      <c r="GI70" s="18"/>
      <c r="GJ70" s="18"/>
      <c r="GK70" s="18"/>
      <c r="GL70" s="18"/>
      <c r="GM70" s="18"/>
      <c r="GN70" s="18"/>
      <c r="GO70" s="18"/>
      <c r="GP70" s="18"/>
    </row>
    <row r="71" spans="1:198" ht="15.6" x14ac:dyDescent="0.3">
      <c r="A71" s="62" t="s">
        <v>36</v>
      </c>
      <c r="B71" s="223"/>
      <c r="C71" s="63" t="str">
        <f t="shared" ref="C71" si="706">C70</f>
        <v>Bermuda</v>
      </c>
      <c r="D71" s="63"/>
      <c r="E71" s="63"/>
      <c r="F71" s="63"/>
      <c r="G71" s="56"/>
      <c r="H71" s="209">
        <f>TBFavrundet</f>
        <v>142.49999999999997</v>
      </c>
      <c r="I71" s="65">
        <f>COUNTA(O71:AD71)</f>
        <v>2</v>
      </c>
      <c r="J71" s="228">
        <f>SUM(O71:AD71)</f>
        <v>175.96</v>
      </c>
      <c r="K71" s="119">
        <f>Seilareal/Depl^0.667/K$7</f>
        <v>1.8274274898969745</v>
      </c>
      <c r="L71" s="119">
        <f>Seilareal/Lwl/Lwl/L$7</f>
        <v>1.3898389116047138</v>
      </c>
      <c r="M71" s="95">
        <f>RiggF</f>
        <v>1</v>
      </c>
      <c r="N71" s="265">
        <f>StHfaktor</f>
        <v>1.0637866251253518</v>
      </c>
      <c r="O71" s="147"/>
      <c r="P71" s="147"/>
      <c r="Q71" s="147"/>
      <c r="R71" s="147"/>
      <c r="S71" s="147"/>
      <c r="T71" s="169">
        <v>55.6</v>
      </c>
      <c r="U71" s="148"/>
      <c r="V71" s="148"/>
      <c r="W71" s="148"/>
      <c r="X71" s="148"/>
      <c r="Y71" s="147"/>
      <c r="Z71" s="147"/>
      <c r="AA71" s="147"/>
      <c r="AB71" s="169">
        <v>120.36</v>
      </c>
      <c r="AC71" s="147"/>
      <c r="AD71" s="148"/>
      <c r="AE71" s="260">
        <f t="shared" ref="AE71" si="707">AE70</f>
        <v>22.73</v>
      </c>
      <c r="AF71" s="375">
        <f t="shared" si="699"/>
        <v>0</v>
      </c>
      <c r="AG71" s="377"/>
      <c r="AH71" s="375">
        <f t="shared" si="699"/>
        <v>0</v>
      </c>
      <c r="AI71" s="377"/>
      <c r="AJ71" s="295" t="str">
        <f t="shared" si="700"/>
        <v>Meter</v>
      </c>
      <c r="AK71" s="47">
        <f>VLOOKUP(AJ71,Skrogform!$1:$1048576,3,FALSE)</f>
        <v>1</v>
      </c>
      <c r="AL71" s="66">
        <f t="shared" ref="AL71:AT71" si="708">AL70</f>
        <v>21.43</v>
      </c>
      <c r="AM71" s="66">
        <f t="shared" si="708"/>
        <v>13.86</v>
      </c>
      <c r="AN71" s="66">
        <f t="shared" si="708"/>
        <v>3.6</v>
      </c>
      <c r="AO71" s="66">
        <f t="shared" si="708"/>
        <v>2.74</v>
      </c>
      <c r="AP71" s="66">
        <f t="shared" si="708"/>
        <v>26.08</v>
      </c>
      <c r="AQ71" s="66">
        <f t="shared" si="708"/>
        <v>14</v>
      </c>
      <c r="AR71" s="66">
        <f t="shared" si="708"/>
        <v>0</v>
      </c>
      <c r="AS71" s="284">
        <f t="shared" si="708"/>
        <v>70</v>
      </c>
      <c r="AT71" s="284">
        <f t="shared" si="708"/>
        <v>490</v>
      </c>
      <c r="AU71" s="284">
        <f t="shared" ref="AU71:AV71" si="709">AU70</f>
        <v>300</v>
      </c>
      <c r="AV71" s="284">
        <f t="shared" si="709"/>
        <v>300</v>
      </c>
      <c r="AW71" s="284"/>
      <c r="AX71" s="284">
        <f>AX70</f>
        <v>0</v>
      </c>
      <c r="AY71" s="68"/>
      <c r="AZ71" s="68"/>
      <c r="BA71" s="289"/>
      <c r="BB71" s="68"/>
      <c r="BC71" s="179"/>
      <c r="BD71" s="68"/>
      <c r="BE71" s="68"/>
      <c r="BF71" s="67" t="str">
        <f t="shared" ref="BF71:BH71" si="710" xml:space="preserve"> BF70</f>
        <v>Seilrett</v>
      </c>
      <c r="BG71" s="295">
        <f t="shared" si="710"/>
        <v>3</v>
      </c>
      <c r="BH71" s="295">
        <f t="shared" si="710"/>
        <v>60</v>
      </c>
      <c r="BI71" s="47">
        <f t="shared" si="663"/>
        <v>1</v>
      </c>
      <c r="BJ71" s="61"/>
      <c r="BK71" s="61"/>
      <c r="BM71" s="51">
        <f t="shared" si="704"/>
        <v>0</v>
      </c>
      <c r="BN71" s="51">
        <f t="shared" si="704"/>
        <v>0</v>
      </c>
      <c r="BO71" s="51">
        <f t="shared" si="704"/>
        <v>0</v>
      </c>
      <c r="BP71" s="51">
        <f t="shared" si="704"/>
        <v>0</v>
      </c>
      <c r="BQ71" s="51">
        <f t="shared" si="704"/>
        <v>0</v>
      </c>
      <c r="BR71" s="51">
        <f t="shared" si="704"/>
        <v>55.6</v>
      </c>
      <c r="BS71" s="52">
        <f>IF(COUNT(P71:T71)&gt;1,MINA(P71:T71)*BS$9,0)</f>
        <v>0</v>
      </c>
      <c r="BT71" s="88">
        <f t="shared" si="705"/>
        <v>0</v>
      </c>
      <c r="BU71" s="88">
        <f t="shared" si="705"/>
        <v>0</v>
      </c>
      <c r="BV71" s="88">
        <f t="shared" si="705"/>
        <v>0</v>
      </c>
      <c r="BW71" s="88">
        <f t="shared" si="705"/>
        <v>0</v>
      </c>
      <c r="BX71" s="88">
        <f t="shared" si="705"/>
        <v>0</v>
      </c>
      <c r="BY71" s="88">
        <f t="shared" si="705"/>
        <v>0</v>
      </c>
      <c r="BZ71" s="88">
        <f t="shared" si="705"/>
        <v>0</v>
      </c>
      <c r="CA71" s="88">
        <f t="shared" si="705"/>
        <v>120.36</v>
      </c>
      <c r="CB71" s="88">
        <f t="shared" si="705"/>
        <v>0</v>
      </c>
      <c r="CC71" s="88">
        <f t="shared" si="705"/>
        <v>0</v>
      </c>
      <c r="CD71" s="103">
        <f>SUM(BM71:CC71)</f>
        <v>175.96</v>
      </c>
      <c r="CE71" s="52"/>
      <c r="CF71" s="107">
        <f>J71</f>
        <v>175.96</v>
      </c>
      <c r="CG71" s="104">
        <f>CD71/CF71</f>
        <v>1</v>
      </c>
      <c r="CH71" s="53">
        <f>Seilareal/Lwl/Lwl</f>
        <v>0.91598316706541827</v>
      </c>
      <c r="CI71" s="119">
        <f>Seilareal/Depl^0.667/K$7</f>
        <v>1.8274274898969745</v>
      </c>
      <c r="CJ71" s="53">
        <f>Seilareal/Lwl/Lwl/SApRS1</f>
        <v>1.3898389116047138</v>
      </c>
      <c r="CK71" s="209"/>
      <c r="CL71" s="209">
        <f>(ROUND(TBF/CL$6,3)*CL$6)*CL$4</f>
        <v>142.49999999999997</v>
      </c>
      <c r="CM71" s="110">
        <f t="shared" si="690"/>
        <v>1.4235128640305457</v>
      </c>
      <c r="CN71" s="64">
        <f>IF(SeilBeregnet=0,"-",(SeilBeregnet)^(1/2)*StHfaktor/(Depl+DeplTillegg/1000+Vann/1000+Diesel/1000*0.84)^(1/3))</f>
        <v>4.7135033554102312</v>
      </c>
      <c r="CO71" s="64">
        <f t="shared" si="659"/>
        <v>2.2139080579122723</v>
      </c>
      <c r="CP71" s="64">
        <f t="shared" si="660"/>
        <v>1.929482338296274</v>
      </c>
      <c r="CQ71" s="110">
        <f t="shared" si="661"/>
        <v>1.0637866251253518</v>
      </c>
      <c r="CR71" s="172" t="str">
        <f t="shared" si="691"/>
        <v>-</v>
      </c>
      <c r="CS71" s="162"/>
      <c r="CT71" s="172" t="str">
        <f t="shared" si="692"/>
        <v>-</v>
      </c>
      <c r="CU71" s="164"/>
      <c r="CV71" s="195" t="s">
        <v>145</v>
      </c>
      <c r="CW71" s="64" t="s">
        <v>111</v>
      </c>
      <c r="CX71" s="64" t="s">
        <v>111</v>
      </c>
      <c r="CY71" s="64" t="s">
        <v>111</v>
      </c>
      <c r="CZ71" s="154" t="s">
        <v>111</v>
      </c>
      <c r="DA71" s="64">
        <f t="shared" si="664"/>
        <v>2.0885556844678113</v>
      </c>
      <c r="DB71" s="49">
        <f t="shared" si="665"/>
        <v>14.842903575297942</v>
      </c>
      <c r="DC71" s="50">
        <f t="shared" si="666"/>
        <v>0</v>
      </c>
      <c r="DE71" s="110">
        <f>IF(SeilBeregnet=0,"-",DE$7*(DG:DG+DE$6)*DL:DL*PropF+ErfaringsF+Dyp_F)</f>
        <v>1.3472627184906492</v>
      </c>
      <c r="DF71" s="144" t="str">
        <f t="shared" si="667"/>
        <v>-</v>
      </c>
      <c r="DG71" s="110">
        <f t="shared" si="668"/>
        <v>6.9133749357454999</v>
      </c>
      <c r="DH71" s="136">
        <f>IF(SeilBeregnet=0,DH70,(SeilBeregnet^0.5/(Depl^0.3333))^DH$3*DH$7)</f>
        <v>4.4735434297234598</v>
      </c>
      <c r="DI71" s="136">
        <f>IF(SeilBeregnet=0,DI70,(SeilBeregnet^0.5/Lwl)^DI$3*DI$7)</f>
        <v>0</v>
      </c>
      <c r="DJ71" s="136">
        <f>IF(SeilBeregnet=0,DJ70,(0.1*Loa/Depl^0.3333)^DJ$3*DJ$7)</f>
        <v>0</v>
      </c>
      <c r="DK71" s="136">
        <f>IF(SeilBeregnet=0,DK70,((Loa)/Bredde)^DK$3*DK$7)</f>
        <v>2.4398315060220401</v>
      </c>
      <c r="DL71" s="110">
        <f>IF(SeilBeregnet=0,DL70,(Lwl)^DL$3)</f>
        <v>1.929482338296274</v>
      </c>
      <c r="DM71" s="136">
        <f>IF(SeilBeregnet=0,DM70,(Dypg/Loa)^DM$3*5*DM$7)</f>
        <v>1.7878628498187483</v>
      </c>
      <c r="DO71" s="110">
        <f t="shared" si="669"/>
        <v>1.4235128640305457</v>
      </c>
      <c r="DP71" s="110">
        <f t="shared" si="670"/>
        <v>1.3563624770684255</v>
      </c>
      <c r="DR71" s="110">
        <f t="shared" si="671"/>
        <v>1.3528856216026548</v>
      </c>
      <c r="DS71" s="125" t="str">
        <f t="shared" si="672"/>
        <v>-</v>
      </c>
      <c r="DT71" s="110">
        <f t="shared" si="673"/>
        <v>1.4169348373152548</v>
      </c>
      <c r="DU71" s="125" t="str">
        <f t="shared" si="674"/>
        <v>-</v>
      </c>
      <c r="DV71" s="110">
        <f>IF(SeilBeregnet=0,DV70,SeilBeregnet^0.5/Depl^0.33333)</f>
        <v>4.4731057817331612</v>
      </c>
      <c r="DW71" s="110">
        <f>IF(SeilBeregnet=0,DW70,Lwl^0.3333)</f>
        <v>2.4018710337482303</v>
      </c>
      <c r="DX71" s="110">
        <f>IF(SeilBeregnet=0,DX70,((Loa+Lwl)/Bredde)^DX$3)</f>
        <v>1.7694459023509632</v>
      </c>
      <c r="DZ71" s="110">
        <f t="shared" si="675"/>
        <v>1.411699578464735</v>
      </c>
      <c r="EB71" s="110">
        <f>IF(SeilBeregnet=0,EB70,SeilBeregnet^0.5/Depl^0.33333)</f>
        <v>4.4731057817331612</v>
      </c>
      <c r="EC71" s="110">
        <f>IF(SeilBeregnet=0,EC70,Lwl^EC$3)</f>
        <v>2.4020604772912337</v>
      </c>
      <c r="ED71" s="110">
        <f>IF(SeilBeregnet=0,ED70,((Loa+Lwl)/Bredde)^ED$3)</f>
        <v>2.1400142942095619</v>
      </c>
      <c r="EE71" s="110">
        <f t="shared" si="676"/>
        <v>1.3772829964452518</v>
      </c>
      <c r="EG71" s="110">
        <f>IF(SeilBeregnet=0,EG70,(EH71*EI71)^EG$3)</f>
        <v>7.9149186962701439</v>
      </c>
      <c r="EH71" s="110">
        <f>IF(SeilBeregnet=0,EH70,SeilBeregnet^0.5/Depl^0.33333)</f>
        <v>4.4731057817331612</v>
      </c>
      <c r="EI71" s="110">
        <f>IF(SeilBeregnet=0,EI70,((Loa+Lwl)/Bredde)^EI$3)</f>
        <v>1.7694459023509632</v>
      </c>
      <c r="EJ71" s="110">
        <f>IF(SeilBeregnet=0,EJ70,Lwl^EJ$3)</f>
        <v>1.929482338296274</v>
      </c>
      <c r="EK71" s="110">
        <f>IF(SeilBeregnet=0,"-",EK$7*(EK$4*EM:EM+EK$6)*EP:EP*PropF+ErfaringsF+Dyp_F)</f>
        <v>1.3607750779005712</v>
      </c>
      <c r="EM71" s="110">
        <f>IF(SeilBeregnet=0,EM70,(EN:EN*EO:EO)^EM$3)</f>
        <v>2.248818072155172</v>
      </c>
      <c r="EN71" s="110">
        <f>IF(SeilBeregnet=0,EN70,SeilBeregnet^0.5/Depl^0.33333)</f>
        <v>4.4731057817331612</v>
      </c>
      <c r="EO71" s="110">
        <f>IF(SeilBeregnet=0,EO70,((Loa+Lwl)/Bredde/6)^EO$3)</f>
        <v>1.1305752576439712</v>
      </c>
      <c r="EP71" s="110">
        <f>IF(SeilBeregnet=0,EP70,(Lwl*0.7+Loa*0.3)^EP$3)</f>
        <v>2.004081240602865</v>
      </c>
      <c r="EQ71" s="110">
        <f>IF(SeilBeregnet=0,"-",EQ$7*(ES:ES+EQ$6)*EV:EV*PropF+ErfaringsF+Dyp_F)</f>
        <v>1.2333003445951962</v>
      </c>
      <c r="ES71" s="110">
        <f>(ET:ET*EU:EU)^ES$3</f>
        <v>2.2489280814737262</v>
      </c>
      <c r="ET71" s="110">
        <f>IF(SeilBeregnet=0,ET70,SeilBeregnet^0.5/Depl^0.3333)</f>
        <v>4.4735434297234598</v>
      </c>
      <c r="EU71" s="110">
        <f>IF(SeilBeregnet=0,EU70,((Loa+Lwl)/Bredde/6)^EU$3)</f>
        <v>1.1305752576439712</v>
      </c>
      <c r="EV71" s="110">
        <f>IF(SeilBeregnet=0,EV70,(Lwl*0.7+Loa*0.3)^EV$3)</f>
        <v>2.004081240602865</v>
      </c>
      <c r="EW71" s="110">
        <f>IF(SeilBeregnet=0,"-",EW$7*(EY:EY+EW$6)*FB:FB*PropF+ErfaringsF+Dyp_F)</f>
        <v>1.4873767680282133</v>
      </c>
      <c r="EX71" s="144" t="str">
        <f t="shared" si="677"/>
        <v>-</v>
      </c>
      <c r="EY71" s="110">
        <f>(EZ:EZ*FA:FA)^EY$3</f>
        <v>5.718085060326052</v>
      </c>
      <c r="EZ71" s="136">
        <f>IF(SeilBeregnet=0,EZ70,(SeilBeregnet^0.5/(Depl^0.3333))^EZ$3)</f>
        <v>4.4735434297234598</v>
      </c>
      <c r="FA71" s="136">
        <f>IF(SeilBeregnet=0,FA70,((Loa+Lwl)/Bredde/6)^FA$3)</f>
        <v>1.2782004131967319</v>
      </c>
      <c r="FB71" s="110">
        <f>IF(SeilBeregnet=0,FB70,(Lwl*0.07+Loa*0.03)^FB$3)</f>
        <v>1.1269777006297337</v>
      </c>
      <c r="FC71" s="110">
        <f>IF(SeilBeregnet=0,"-",FC$7*(FE:FE+FC$6)*FI:FI*PropF+ErfaringsF+Dyp_F)</f>
        <v>1.3652297772030404</v>
      </c>
      <c r="FD71" s="144" t="str">
        <f t="shared" si="678"/>
        <v>-</v>
      </c>
      <c r="FE71" s="110">
        <f>(FF:FF+FG:FG+FH:FH)^FE$3+FE$7</f>
        <v>7.3704450309137783</v>
      </c>
      <c r="FF71" s="136">
        <f>IF(SeilBeregnet=0,FF70,(SeilBeregnet^0.5/(Depl^0.3333))^FF$3)</f>
        <v>4.4735434297234598</v>
      </c>
      <c r="FG71" s="136">
        <f>IF(SeilBeregnet=0,FG70,(SeilBeregnet^0.5/Lwl*FG$7)^FG$3)</f>
        <v>0.9570700951682789</v>
      </c>
      <c r="FH71" s="136">
        <f>IF(SeilBeregnet=0,FH70,((Loa)/Bredde)^FH$3*FH$7)</f>
        <v>2.4398315060220401</v>
      </c>
      <c r="FI71" s="110">
        <f>IF(SeilBeregnet=0,FI70,(Lwl)^FI$3)</f>
        <v>1.929482338296274</v>
      </c>
      <c r="FJ71" s="110">
        <f>IF(SeilBeregnet=0,"-",FJ$7*(FL:FL+FJ$6)*FO:FO*PropF+ErfaringsF+Dyp_F)</f>
        <v>1.4964370297541609</v>
      </c>
      <c r="FK71" s="144" t="str">
        <f t="shared" si="679"/>
        <v>-</v>
      </c>
      <c r="FL71" s="110">
        <f>(FM:FM*FN:FN)^FL$3</f>
        <v>10.914692203397191</v>
      </c>
      <c r="FM71" s="136">
        <f>IF(SeilBeregnet=0,FM70,(SeilBeregnet^0.5/(Depl^0.3333))^FM$3)</f>
        <v>4.4735434297234598</v>
      </c>
      <c r="FN71" s="136">
        <f>IF(SeilBeregnet=0,FN70,(Loa/Bredde)^FN$3)</f>
        <v>2.4398315060220401</v>
      </c>
      <c r="FO71" s="110">
        <f>IF(SeilBeregnet=0,FO70,Lwl^FO$3)</f>
        <v>1.929482338296274</v>
      </c>
      <c r="FQ71" s="374">
        <v>1</v>
      </c>
      <c r="FR71" s="64">
        <f t="shared" si="680"/>
        <v>1.5701891079848784</v>
      </c>
      <c r="FS71" s="479"/>
      <c r="FT71" s="18"/>
      <c r="FU71" s="481"/>
      <c r="FV71" s="504"/>
      <c r="FW71" s="18"/>
      <c r="FX71" s="18"/>
      <c r="FY71" s="18"/>
      <c r="FZ71" s="18"/>
      <c r="GB71" s="18"/>
      <c r="GC71" s="481"/>
      <c r="GD71" s="8"/>
      <c r="GE71" s="8"/>
      <c r="GF71" s="8"/>
      <c r="GG71" s="8"/>
      <c r="GI71" s="18"/>
      <c r="GJ71" s="18"/>
      <c r="GK71" s="18"/>
      <c r="GL71" s="18"/>
      <c r="GM71" s="18"/>
      <c r="GN71" s="18"/>
      <c r="GO71" s="18"/>
      <c r="GP71" s="18"/>
    </row>
    <row r="72" spans="1:198" ht="15.6" x14ac:dyDescent="0.3">
      <c r="A72" s="54" t="s">
        <v>296</v>
      </c>
      <c r="B72" s="223">
        <f t="shared" si="199"/>
        <v>61.745406824146983</v>
      </c>
      <c r="C72" s="55" t="s">
        <v>22</v>
      </c>
      <c r="D72" s="55"/>
      <c r="E72" s="55"/>
      <c r="F72" s="55"/>
      <c r="G72" s="56"/>
      <c r="H72" s="209"/>
      <c r="I72" s="126" t="str">
        <f>A72</f>
        <v>Cintra</v>
      </c>
      <c r="J72" s="229"/>
      <c r="K72" s="119"/>
      <c r="L72" s="119"/>
      <c r="M72" s="95"/>
      <c r="N72" s="265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270"/>
      <c r="AF72" s="296"/>
      <c r="AG72" s="377"/>
      <c r="AH72" s="296"/>
      <c r="AI72" s="377"/>
      <c r="AJ72" s="296" t="s">
        <v>240</v>
      </c>
      <c r="AK72" s="47">
        <f>VLOOKUP(AJ72,Skrogform!$1:$1048576,3,FALSE)</f>
        <v>1</v>
      </c>
      <c r="AL72" s="57">
        <v>18.82</v>
      </c>
      <c r="AM72" s="57">
        <v>11.96</v>
      </c>
      <c r="AN72" s="57">
        <v>3.36</v>
      </c>
      <c r="AO72" s="57">
        <v>2.6</v>
      </c>
      <c r="AP72" s="57">
        <v>22</v>
      </c>
      <c r="AQ72" s="57">
        <v>10</v>
      </c>
      <c r="AR72" s="57"/>
      <c r="AS72" s="281"/>
      <c r="AT72" s="282">
        <f>AS72*7</f>
        <v>0</v>
      </c>
      <c r="AU72" s="281"/>
      <c r="AV72" s="281"/>
      <c r="AW72" s="270">
        <f>Depl+Diesel/1000+Vann/1000</f>
        <v>22</v>
      </c>
      <c r="AX72" s="281"/>
      <c r="AY72" s="98">
        <f>Bredde/(Loa+Lwl)*2</f>
        <v>0.21832358674463936</v>
      </c>
      <c r="AZ72" s="98">
        <f>(Kjøl+Ballast)/Depl</f>
        <v>0.45454545454545453</v>
      </c>
      <c r="BA72" s="288">
        <f>BA$7*((Depl-Kjøl-Ballast-VektMotor/1000-VektAnnet/1000)/Loa/Lwl/Bredde)</f>
        <v>0.68652646428935993</v>
      </c>
      <c r="BB72" s="98">
        <f>BB$7*(Depl/Loa/Lwl/Lwl)</f>
        <v>0.61366147816185379</v>
      </c>
      <c r="BC72" s="178">
        <f>BC$7*(Depl/Loa/Lwl/Bredde)</f>
        <v>0.8074080514822598</v>
      </c>
      <c r="BD72" s="98">
        <f>BD$7*Bredde/(Loa+Lwl)*2</f>
        <v>0.62280911358443891</v>
      </c>
      <c r="BE72" s="98">
        <f>BE$7*(Dypg/Lwl)</f>
        <v>1.1890359168241966</v>
      </c>
      <c r="BF72" s="58"/>
      <c r="BG72" s="296"/>
      <c r="BH72" s="296"/>
      <c r="BI72" s="47">
        <f t="shared" si="663"/>
        <v>1</v>
      </c>
      <c r="BJ72" s="61"/>
      <c r="BK72" s="61"/>
      <c r="BM72" s="214"/>
      <c r="BN72" s="214" t="str">
        <f>$A72</f>
        <v>Cintra</v>
      </c>
      <c r="BO72" s="10"/>
      <c r="BP72" s="10"/>
      <c r="BQ72" s="10"/>
      <c r="BR72" s="10"/>
      <c r="BS72" s="52"/>
      <c r="BT72" s="214" t="str">
        <f>$A72</f>
        <v>Cintra</v>
      </c>
      <c r="BU72" s="10"/>
      <c r="BV72" s="10"/>
      <c r="BW72" s="10"/>
      <c r="BX72" s="10"/>
      <c r="BY72" s="10"/>
      <c r="BZ72" s="10"/>
      <c r="CA72" s="10"/>
      <c r="CB72" s="10"/>
      <c r="CC72" s="10"/>
      <c r="CD72" s="214"/>
      <c r="CE72" s="10"/>
      <c r="CF72" s="214" t="str">
        <f>$A72</f>
        <v>Cintra</v>
      </c>
      <c r="CG72" s="212"/>
      <c r="CH72" s="212"/>
      <c r="CI72" s="119"/>
      <c r="CJ72" s="212"/>
      <c r="CK72" s="208"/>
      <c r="CL72" s="208" t="s">
        <v>26</v>
      </c>
      <c r="CM72" s="110" t="str">
        <f t="shared" si="690"/>
        <v>-</v>
      </c>
      <c r="CN72" s="64" t="str">
        <f>IF(SeilBeregnet=0,"-",(SeilBeregnet)^(1/2)*StHfaktor/(Depl+DeplTillegg/1000+Vann/1000+Diesel/1000*0.84)^(1/3))</f>
        <v>-</v>
      </c>
      <c r="CO72" s="64" t="str">
        <f t="shared" si="659"/>
        <v>-</v>
      </c>
      <c r="CP72" s="64" t="str">
        <f t="shared" si="660"/>
        <v>-</v>
      </c>
      <c r="CQ72" s="110" t="str">
        <f t="shared" si="661"/>
        <v>-</v>
      </c>
      <c r="CR72" s="172" t="str">
        <f t="shared" si="691"/>
        <v>-</v>
      </c>
      <c r="CS72" s="162"/>
      <c r="CT72" s="172" t="str">
        <f t="shared" si="692"/>
        <v>-</v>
      </c>
      <c r="CU72" s="164"/>
      <c r="CV72" s="195" t="s">
        <v>145</v>
      </c>
      <c r="CW72" s="30" t="s">
        <v>26</v>
      </c>
      <c r="CX72" s="30" t="s">
        <v>26</v>
      </c>
      <c r="CY72" s="30" t="s">
        <v>26</v>
      </c>
      <c r="CZ72" s="153">
        <v>2022</v>
      </c>
      <c r="DA72" s="64" t="str">
        <f t="shared" si="664"/>
        <v>-</v>
      </c>
      <c r="DB72" s="49">
        <f t="shared" si="665"/>
        <v>15.931372549019606</v>
      </c>
      <c r="DC72" s="50">
        <f t="shared" si="666"/>
        <v>0</v>
      </c>
      <c r="DE72" s="110" t="str">
        <f>IF(SeilBeregnet=0,"-",DE$7*(DG:DG+DE$6)*DL:DL*PropF+ErfaringsF+Dyp_F)</f>
        <v>-</v>
      </c>
      <c r="DF72" s="144" t="str">
        <f t="shared" si="667"/>
        <v>-</v>
      </c>
      <c r="DG72" s="110">
        <f t="shared" si="668"/>
        <v>4.8384833931905202</v>
      </c>
      <c r="DH72" s="136">
        <f>IF(SeilBeregnet=0,DH30,(SeilBeregnet^0.5/(Depl^0.3333))^DH$3*DH$7)</f>
        <v>3.0614367599132435</v>
      </c>
      <c r="DI72" s="136">
        <f>IF(SeilBeregnet=0,DI30,(SeilBeregnet^0.5/Lwl)^DI$3*DI$7)</f>
        <v>0</v>
      </c>
      <c r="DJ72" s="136">
        <f>IF(SeilBeregnet=0,DJ30,(0.1*Loa/Depl^0.3333)^DJ$3*DJ$7)</f>
        <v>0</v>
      </c>
      <c r="DK72" s="136">
        <f>IF(SeilBeregnet=0,DK30,((Loa)/Bredde)^DK$3*DK$7)</f>
        <v>1.7770466332772772</v>
      </c>
      <c r="DL72" s="110">
        <f>IF(SeilBeregnet=0,DL30,(Lwl)^DL$3)</f>
        <v>1.8334522799337654</v>
      </c>
      <c r="DM72" s="136">
        <f>IF(SeilBeregnet=0,DM30,(Dypg/Loa)^DM$3*5*DM$7)</f>
        <v>2.0916500663351889</v>
      </c>
      <c r="DO72" s="110" t="str">
        <f t="shared" si="669"/>
        <v>-</v>
      </c>
      <c r="DP72" s="110" t="str">
        <f t="shared" si="670"/>
        <v>-</v>
      </c>
      <c r="DR72" s="110" t="str">
        <f t="shared" si="671"/>
        <v>-</v>
      </c>
      <c r="DS72" s="125" t="str">
        <f t="shared" si="672"/>
        <v>-</v>
      </c>
      <c r="DT72" s="110" t="str">
        <f t="shared" si="673"/>
        <v>-</v>
      </c>
      <c r="DU72" s="125" t="str">
        <f t="shared" si="674"/>
        <v>-</v>
      </c>
      <c r="DV72" s="110">
        <f>IF(SeilBeregnet=0,DV30,SeilBeregnet^0.5/Depl^0.33333)</f>
        <v>3.0611821273522284</v>
      </c>
      <c r="DW72" s="110">
        <f>IF(SeilBeregnet=0,DW30,Lwl^0.3333)</f>
        <v>2.2438356573015867</v>
      </c>
      <c r="DX72" s="110">
        <f>IF(SeilBeregnet=0,DX30,((Loa+Lwl)/Bredde)^DX$3)</f>
        <v>1.5735954135403782</v>
      </c>
      <c r="DZ72" s="110" t="str">
        <f t="shared" si="675"/>
        <v>-</v>
      </c>
      <c r="EB72" s="110">
        <f>IF(SeilBeregnet=0,EB30,SeilBeregnet^0.5/Depl^0.33333)</f>
        <v>3.0611821273522284</v>
      </c>
      <c r="EC72" s="110">
        <f>IF(SeilBeregnet=0,EC30,Lwl^EC$3)</f>
        <v>2.2439988890031217</v>
      </c>
      <c r="ED72" s="110">
        <f>IF(SeilBeregnet=0,ED30,((Loa+Lwl)/Bredde)^ED$3)</f>
        <v>1.830197069920783</v>
      </c>
      <c r="EE72" s="110" t="str">
        <f t="shared" si="676"/>
        <v>-</v>
      </c>
      <c r="EG72" s="110">
        <f>IF(SeilBeregnet=0,EG30,(EH72*EI72)^EG$3)</f>
        <v>4.8170621556132449</v>
      </c>
      <c r="EH72" s="110">
        <f>IF(SeilBeregnet=0,EH30,SeilBeregnet^0.5/Depl^0.33333)</f>
        <v>3.0611821273522284</v>
      </c>
      <c r="EI72" s="110">
        <f>IF(SeilBeregnet=0,EI30,((Loa+Lwl)/Bredde)^EI$3)</f>
        <v>1.5735954135403782</v>
      </c>
      <c r="EJ72" s="110">
        <f>IF(SeilBeregnet=0,EJ30,Lwl^EJ$3)</f>
        <v>1.8334522799337654</v>
      </c>
      <c r="EK72" s="110" t="str">
        <f>IF(SeilBeregnet=0,"-",EK$7*(EK$4*EM:EM+EK$6)*EP:EP*PropF+ErfaringsF+Dyp_F)</f>
        <v>-</v>
      </c>
      <c r="EM72" s="110">
        <f>IF(SeilBeregnet=0,EM30,(EN:EN*EO:EO)^EM$3)</f>
        <v>1.7543741468269438</v>
      </c>
      <c r="EN72" s="110">
        <f>IF(SeilBeregnet=0,EN30,SeilBeregnet^0.5/Depl^0.33333)</f>
        <v>3.0611821273522284</v>
      </c>
      <c r="EO72" s="110">
        <f>IF(SeilBeregnet=0,EO30,((Loa+Lwl)/Bredde/6)^EO$3)</f>
        <v>1.0054379383551861</v>
      </c>
      <c r="EP72" s="110">
        <f>IF(SeilBeregnet=0,EP30,(Lwl*0.7+Loa*0.3)^EP$3)</f>
        <v>1.8419118031918562</v>
      </c>
      <c r="EQ72" s="110" t="str">
        <f>IF(SeilBeregnet=0,"-",EQ$7*(ES:ES+EQ$6)*EV:EV*PropF+ErfaringsF+Dyp_F)</f>
        <v>-</v>
      </c>
      <c r="ES72" s="110">
        <f>(ET:ET*EU:EU)^ES$3</f>
        <v>1.7544471107137862</v>
      </c>
      <c r="ET72" s="110">
        <f>IF(SeilBeregnet=0,ET30,SeilBeregnet^0.5/Depl^0.3333)</f>
        <v>3.0614367599132435</v>
      </c>
      <c r="EU72" s="110">
        <f>IF(SeilBeregnet=0,EU30,((Loa+Lwl)/Bredde/6)^EU$3)</f>
        <v>1.0054379383551861</v>
      </c>
      <c r="EV72" s="110">
        <f>IF(SeilBeregnet=0,EV30,(Lwl*0.7+Loa*0.3)^EV$3)</f>
        <v>1.8419118031918562</v>
      </c>
      <c r="EW72" s="110" t="str">
        <f>IF(SeilBeregnet=0,"-",EW$7*(EY:EY+EW$6)*FB:FB*PropF+ErfaringsF+Dyp_F)</f>
        <v>-</v>
      </c>
      <c r="EX72" s="144" t="str">
        <f t="shared" si="677"/>
        <v>-</v>
      </c>
      <c r="EY72" s="110">
        <f>(EZ:EZ*FA:FA)^EY$3</f>
        <v>3.0948230989484165</v>
      </c>
      <c r="EZ72" s="136">
        <f>IF(SeilBeregnet=0,EZ30,(SeilBeregnet^0.5/(Depl^0.3333))^EZ$3)</f>
        <v>3.0614367599132435</v>
      </c>
      <c r="FA72" s="136">
        <f>IF(SeilBeregnet=0,FA30,((Loa+Lwl)/Bredde/6)^FA$3)</f>
        <v>1.0109054478839272</v>
      </c>
      <c r="FB72" s="110">
        <f>IF(SeilBeregnet=0,FB30,(Lwl*0.07+Loa*0.03)^FB$3)</f>
        <v>1.0357831242906539</v>
      </c>
      <c r="FC72" s="110" t="str">
        <f>IF(SeilBeregnet=0,"-",FC$7*(FE:FE+FC$6)*FI:FI*PropF+ErfaringsF+Dyp_F)</f>
        <v>-</v>
      </c>
      <c r="FD72" s="144" t="str">
        <f t="shared" si="678"/>
        <v>-</v>
      </c>
      <c r="FE72" s="110">
        <f>(FF:FF+FG:FG+FH:FH)^FE$3+FE$7</f>
        <v>5.0211050135684641</v>
      </c>
      <c r="FF72" s="136">
        <f>IF(SeilBeregnet=0,FF30,(SeilBeregnet^0.5/(Depl^0.3333))^FF$3)</f>
        <v>3.0614367599132435</v>
      </c>
      <c r="FG72" s="136">
        <f>IF(SeilBeregnet=0,FG30,(SeilBeregnet^0.5/Lwl*FG$7)^FG$3)</f>
        <v>0.68262162037794294</v>
      </c>
      <c r="FH72" s="136">
        <f>IF(SeilBeregnet=0,FH30,((Loa)/Bredde)^FH$3*FH$7)</f>
        <v>1.7770466332772772</v>
      </c>
      <c r="FI72" s="110">
        <f>IF(SeilBeregnet=0,FI30,(Lwl)^FI$3)</f>
        <v>1.8334522799337654</v>
      </c>
      <c r="FJ72" s="110" t="str">
        <f>IF(SeilBeregnet=0,"-",FJ$7*(FL:FL+FJ$6)*FO:FO*PropF+ErfaringsF+Dyp_F)</f>
        <v>-</v>
      </c>
      <c r="FK72" s="144" t="str">
        <f t="shared" si="679"/>
        <v>-</v>
      </c>
      <c r="FL72" s="110">
        <f>(FM:FM*FN:FN)^FL$3</f>
        <v>5.4403158871951254</v>
      </c>
      <c r="FM72" s="136">
        <f>IF(SeilBeregnet=0,FM30,(SeilBeregnet^0.5/(Depl^0.3333))^FM$3)</f>
        <v>3.0614367599132435</v>
      </c>
      <c r="FN72" s="136">
        <f>IF(SeilBeregnet=0,FN30,(Loa/Bredde)^FN$3)</f>
        <v>1.7770466332772772</v>
      </c>
      <c r="FO72" s="110">
        <f>IF(SeilBeregnet=0,FO30,Lwl^FO$3)</f>
        <v>1.8334522799337654</v>
      </c>
      <c r="FP72" s="569">
        <v>1.47</v>
      </c>
      <c r="FQ72" s="374">
        <v>1</v>
      </c>
      <c r="FR72" s="64" t="str">
        <f t="shared" si="680"/>
        <v>-</v>
      </c>
      <c r="FS72" s="480" t="s">
        <v>756</v>
      </c>
      <c r="FT72" s="59" t="s">
        <v>757</v>
      </c>
      <c r="FU72" s="475" t="s">
        <v>758</v>
      </c>
      <c r="FV72" s="542" t="s">
        <v>759</v>
      </c>
      <c r="FW72" s="59" t="s">
        <v>522</v>
      </c>
      <c r="FX72" s="59" t="s">
        <v>760</v>
      </c>
      <c r="FY72" s="59" t="s">
        <v>464</v>
      </c>
      <c r="FZ72" s="59" t="s">
        <v>761</v>
      </c>
      <c r="GB72" s="59" t="s">
        <v>522</v>
      </c>
      <c r="GC72" s="475" t="s">
        <v>522</v>
      </c>
      <c r="GD72" s="60" t="s">
        <v>522</v>
      </c>
      <c r="GE72" s="60" t="s">
        <v>522</v>
      </c>
      <c r="GF72" s="60" t="s">
        <v>522</v>
      </c>
      <c r="GG72" s="60" t="s">
        <v>522</v>
      </c>
      <c r="GI72" s="59" t="s">
        <v>234</v>
      </c>
      <c r="GJ72" s="59" t="s">
        <v>473</v>
      </c>
      <c r="GK72" s="59" t="s">
        <v>762</v>
      </c>
      <c r="GL72" s="59" t="s">
        <v>763</v>
      </c>
      <c r="GM72" s="59">
        <v>1909</v>
      </c>
      <c r="GN72" s="59" t="s">
        <v>470</v>
      </c>
      <c r="GO72" s="59" t="s">
        <v>477</v>
      </c>
      <c r="GP72" s="59" t="s">
        <v>522</v>
      </c>
    </row>
    <row r="73" spans="1:198" ht="15.6" x14ac:dyDescent="0.3">
      <c r="A73" s="62"/>
      <c r="B73" s="223"/>
      <c r="C73" s="63" t="str">
        <f>C72</f>
        <v>Gaffel</v>
      </c>
      <c r="D73" s="63"/>
      <c r="E73" s="63"/>
      <c r="F73" s="63"/>
      <c r="G73" s="56"/>
      <c r="H73" s="209" t="e">
        <f>TBFavrundet</f>
        <v>#VALUE!</v>
      </c>
      <c r="I73" s="65">
        <f>COUNTA(O73:AD73)</f>
        <v>0</v>
      </c>
      <c r="J73" s="228">
        <v>217</v>
      </c>
      <c r="K73" s="119">
        <f>Seilareal/Depl^0.667/K$7</f>
        <v>2.5244522864284034</v>
      </c>
      <c r="L73" s="119">
        <f>Seilareal/Lwl/Lwl/L$7</f>
        <v>2.3018358427142487</v>
      </c>
      <c r="M73" s="95">
        <f>RiggF</f>
        <v>0</v>
      </c>
      <c r="N73" s="265" t="str">
        <f>StHfaktor</f>
        <v>-</v>
      </c>
      <c r="O73" s="147"/>
      <c r="P73" s="147"/>
      <c r="Q73" s="147"/>
      <c r="R73" s="147"/>
      <c r="S73" s="147"/>
      <c r="T73" s="147"/>
      <c r="U73" s="148"/>
      <c r="V73" s="148"/>
      <c r="W73" s="148"/>
      <c r="X73" s="148"/>
      <c r="Y73" s="147"/>
      <c r="Z73" s="147"/>
      <c r="AA73" s="147"/>
      <c r="AB73" s="147"/>
      <c r="AC73" s="147"/>
      <c r="AD73" s="148"/>
      <c r="AE73" s="260">
        <f t="shared" ref="AE73" si="711">AE72</f>
        <v>0</v>
      </c>
      <c r="AF73" s="375">
        <f t="shared" ref="AF73:AH74" si="712" xml:space="preserve"> AF72</f>
        <v>0</v>
      </c>
      <c r="AG73" s="377"/>
      <c r="AH73" s="375">
        <f t="shared" si="712"/>
        <v>0</v>
      </c>
      <c r="AI73" s="377"/>
      <c r="AJ73" s="295" t="str">
        <f t="shared" ref="AJ73:AJ74" si="713" xml:space="preserve"> AJ72</f>
        <v>Meter</v>
      </c>
      <c r="AK73" s="47">
        <f>VLOOKUP(AJ73,Skrogform!$1:$1048576,3,FALSE)</f>
        <v>1</v>
      </c>
      <c r="AL73" s="66">
        <f t="shared" ref="AL73:AT73" si="714">AL72</f>
        <v>18.82</v>
      </c>
      <c r="AM73" s="66">
        <f t="shared" si="714"/>
        <v>11.96</v>
      </c>
      <c r="AN73" s="66">
        <f t="shared" si="714"/>
        <v>3.36</v>
      </c>
      <c r="AO73" s="66">
        <f t="shared" si="714"/>
        <v>2.6</v>
      </c>
      <c r="AP73" s="66">
        <f t="shared" si="714"/>
        <v>22</v>
      </c>
      <c r="AQ73" s="66">
        <f t="shared" si="714"/>
        <v>10</v>
      </c>
      <c r="AR73" s="66">
        <f t="shared" si="714"/>
        <v>0</v>
      </c>
      <c r="AS73" s="284">
        <f t="shared" si="714"/>
        <v>0</v>
      </c>
      <c r="AT73" s="284">
        <f t="shared" si="714"/>
        <v>0</v>
      </c>
      <c r="AU73" s="284">
        <f t="shared" ref="AU73:AV73" si="715">AU72</f>
        <v>0</v>
      </c>
      <c r="AV73" s="284">
        <f t="shared" si="715"/>
        <v>0</v>
      </c>
      <c r="AW73" s="284"/>
      <c r="AX73" s="284">
        <f>AX72</f>
        <v>0</v>
      </c>
      <c r="AY73" s="68"/>
      <c r="AZ73" s="68"/>
      <c r="BA73" s="289"/>
      <c r="BB73" s="68"/>
      <c r="BC73" s="179"/>
      <c r="BD73" s="68"/>
      <c r="BE73" s="68"/>
      <c r="BF73" s="67">
        <f t="shared" ref="BF73:BH73" si="716" xml:space="preserve"> BF72</f>
        <v>0</v>
      </c>
      <c r="BG73" s="295">
        <f t="shared" si="716"/>
        <v>0</v>
      </c>
      <c r="BH73" s="295">
        <f t="shared" si="716"/>
        <v>0</v>
      </c>
      <c r="BI73" s="47">
        <f t="shared" si="663"/>
        <v>1</v>
      </c>
      <c r="BJ73" s="61"/>
      <c r="BK73" s="61"/>
      <c r="BM73" s="51">
        <f t="shared" ref="BM73:BR74" si="717">IF(O73=0,0,O73*BM$9)</f>
        <v>0</v>
      </c>
      <c r="BN73" s="51">
        <f t="shared" si="717"/>
        <v>0</v>
      </c>
      <c r="BO73" s="51">
        <f t="shared" si="717"/>
        <v>0</v>
      </c>
      <c r="BP73" s="51">
        <f t="shared" si="717"/>
        <v>0</v>
      </c>
      <c r="BQ73" s="51">
        <f t="shared" si="717"/>
        <v>0</v>
      </c>
      <c r="BR73" s="51">
        <f t="shared" si="717"/>
        <v>0</v>
      </c>
      <c r="BS73" s="52">
        <f>IF(COUNT(P73:T73)&gt;1,MINA(P73:T73)*BS$9,0)</f>
        <v>0</v>
      </c>
      <c r="BT73" s="88">
        <f t="shared" ref="BT73:CC74" si="718">IF(U73=0,0,U73*BT$9)</f>
        <v>0</v>
      </c>
      <c r="BU73" s="88">
        <f t="shared" si="718"/>
        <v>0</v>
      </c>
      <c r="BV73" s="88">
        <f t="shared" si="718"/>
        <v>0</v>
      </c>
      <c r="BW73" s="88">
        <f t="shared" si="718"/>
        <v>0</v>
      </c>
      <c r="BX73" s="88">
        <f t="shared" si="718"/>
        <v>0</v>
      </c>
      <c r="BY73" s="88">
        <f t="shared" si="718"/>
        <v>0</v>
      </c>
      <c r="BZ73" s="88">
        <f t="shared" si="718"/>
        <v>0</v>
      </c>
      <c r="CA73" s="88">
        <f t="shared" si="718"/>
        <v>0</v>
      </c>
      <c r="CB73" s="88">
        <f t="shared" si="718"/>
        <v>0</v>
      </c>
      <c r="CC73" s="88">
        <f t="shared" si="718"/>
        <v>0</v>
      </c>
      <c r="CD73" s="103">
        <f>SUM(BM73:CC73)</f>
        <v>0</v>
      </c>
      <c r="CE73" s="52"/>
      <c r="CF73" s="107">
        <f>J73</f>
        <v>217</v>
      </c>
      <c r="CG73" s="104">
        <f>CD73/CF73</f>
        <v>0</v>
      </c>
      <c r="CH73" s="53">
        <f>Seilareal/Lwl/Lwl</f>
        <v>1.5170411964071986</v>
      </c>
      <c r="CI73" s="119">
        <f>Seilareal/Depl^0.667/K$7</f>
        <v>2.5244522864284034</v>
      </c>
      <c r="CJ73" s="53">
        <f>Seilareal/Lwl/Lwl/SApRS1</f>
        <v>2.3018358427142487</v>
      </c>
      <c r="CK73" s="209"/>
      <c r="CL73" s="209" t="e">
        <f>(ROUND(TBF/CL$6,3)*CL$6)*CL$4</f>
        <v>#VALUE!</v>
      </c>
      <c r="CM73" s="110" t="str">
        <f t="shared" si="690"/>
        <v>-</v>
      </c>
      <c r="CN73" s="64" t="str">
        <f>IF(SeilBeregnet=0,"-",(SeilBeregnet)^(1/2)*StHfaktor/(Depl+DeplTillegg/1000+Vann/1000+Diesel/1000*0.84)^(1/3))</f>
        <v>-</v>
      </c>
      <c r="CO73" s="64" t="str">
        <f t="shared" si="659"/>
        <v>-</v>
      </c>
      <c r="CP73" s="64" t="str">
        <f t="shared" si="660"/>
        <v>-</v>
      </c>
      <c r="CQ73" s="110" t="str">
        <f t="shared" si="661"/>
        <v>-</v>
      </c>
      <c r="CR73" s="172" t="str">
        <f t="shared" si="691"/>
        <v>-</v>
      </c>
      <c r="CS73" s="163">
        <f>CS72</f>
        <v>0</v>
      </c>
      <c r="CT73" s="172" t="str">
        <f t="shared" si="692"/>
        <v>-</v>
      </c>
      <c r="CU73" s="163">
        <f>CU72</f>
        <v>0</v>
      </c>
      <c r="CV73" s="195" t="s">
        <v>145</v>
      </c>
      <c r="CW73" s="64" t="s">
        <v>111</v>
      </c>
      <c r="CX73" s="64" t="s">
        <v>111</v>
      </c>
      <c r="CY73" s="64" t="s">
        <v>111</v>
      </c>
      <c r="CZ73" s="154" t="s">
        <v>111</v>
      </c>
      <c r="DA73" s="64" t="str">
        <f t="shared" si="664"/>
        <v>-</v>
      </c>
      <c r="DB73" s="49">
        <f t="shared" si="665"/>
        <v>15.931372549019606</v>
      </c>
      <c r="DC73" s="50">
        <f t="shared" si="666"/>
        <v>0</v>
      </c>
      <c r="DE73" s="110" t="str">
        <f>IF(SeilBeregnet=0,"-",DE$7*(DG:DG+DE$6)*DL:DL*PropF+ErfaringsF+Dyp_F)</f>
        <v>-</v>
      </c>
      <c r="DF73" s="144" t="str">
        <f t="shared" si="667"/>
        <v>-</v>
      </c>
      <c r="DG73" s="110">
        <f t="shared" si="668"/>
        <v>4.8384833931905202</v>
      </c>
      <c r="DH73" s="136">
        <f>IF(SeilBeregnet=0,DH72,(SeilBeregnet^0.5/(Depl^0.3333))^DH$3*DH$7)</f>
        <v>3.0614367599132435</v>
      </c>
      <c r="DI73" s="136">
        <f>IF(SeilBeregnet=0,DI72,(SeilBeregnet^0.5/Lwl)^DI$3*DI$7)</f>
        <v>0</v>
      </c>
      <c r="DJ73" s="136">
        <f>IF(SeilBeregnet=0,DJ72,(0.1*Loa/Depl^0.3333)^DJ$3*DJ$7)</f>
        <v>0</v>
      </c>
      <c r="DK73" s="136">
        <f>IF(SeilBeregnet=0,DK72,((Loa)/Bredde)^DK$3*DK$7)</f>
        <v>1.7770466332772772</v>
      </c>
      <c r="DL73" s="110">
        <f>IF(SeilBeregnet=0,DL72,(Lwl)^DL$3)</f>
        <v>1.8334522799337654</v>
      </c>
      <c r="DM73" s="136">
        <f>IF(SeilBeregnet=0,DM72,(Dypg/Loa)^DM$3*5*DM$7)</f>
        <v>2.0916500663351889</v>
      </c>
      <c r="DO73" s="110" t="str">
        <f t="shared" si="669"/>
        <v>-</v>
      </c>
      <c r="DP73" s="110" t="str">
        <f t="shared" si="670"/>
        <v>-</v>
      </c>
      <c r="DR73" s="110" t="str">
        <f t="shared" si="671"/>
        <v>-</v>
      </c>
      <c r="DS73" s="125" t="str">
        <f t="shared" si="672"/>
        <v>-</v>
      </c>
      <c r="DT73" s="110" t="str">
        <f t="shared" si="673"/>
        <v>-</v>
      </c>
      <c r="DU73" s="125" t="str">
        <f t="shared" si="674"/>
        <v>-</v>
      </c>
      <c r="DV73" s="110">
        <f>IF(SeilBeregnet=0,DV72,SeilBeregnet^0.5/Depl^0.33333)</f>
        <v>3.0611821273522284</v>
      </c>
      <c r="DW73" s="110">
        <f>IF(SeilBeregnet=0,DW72,Lwl^0.3333)</f>
        <v>2.2438356573015867</v>
      </c>
      <c r="DX73" s="110">
        <f>IF(SeilBeregnet=0,DX72,((Loa+Lwl)/Bredde)^DX$3)</f>
        <v>1.5735954135403782</v>
      </c>
      <c r="DZ73" s="110" t="str">
        <f t="shared" si="675"/>
        <v>-</v>
      </c>
      <c r="EB73" s="110">
        <f>IF(SeilBeregnet=0,EB72,SeilBeregnet^0.5/Depl^0.33333)</f>
        <v>3.0611821273522284</v>
      </c>
      <c r="EC73" s="110">
        <f>IF(SeilBeregnet=0,EC72,Lwl^EC$3)</f>
        <v>2.2439988890031217</v>
      </c>
      <c r="ED73" s="110">
        <f>IF(SeilBeregnet=0,ED72,((Loa+Lwl)/Bredde)^ED$3)</f>
        <v>1.830197069920783</v>
      </c>
      <c r="EE73" s="110" t="str">
        <f t="shared" si="676"/>
        <v>-</v>
      </c>
      <c r="EG73" s="110">
        <f>IF(SeilBeregnet=0,EG72,(EH73*EI73)^EG$3)</f>
        <v>4.8170621556132449</v>
      </c>
      <c r="EH73" s="110">
        <f>IF(SeilBeregnet=0,EH72,SeilBeregnet^0.5/Depl^0.33333)</f>
        <v>3.0611821273522284</v>
      </c>
      <c r="EI73" s="110">
        <f>IF(SeilBeregnet=0,EI72,((Loa+Lwl)/Bredde)^EI$3)</f>
        <v>1.5735954135403782</v>
      </c>
      <c r="EJ73" s="110">
        <f>IF(SeilBeregnet=0,EJ72,Lwl^EJ$3)</f>
        <v>1.8334522799337654</v>
      </c>
      <c r="EK73" s="110" t="str">
        <f>IF(SeilBeregnet=0,"-",EK$7*(EK$4*EM:EM+EK$6)*EP:EP*PropF+ErfaringsF+Dyp_F)</f>
        <v>-</v>
      </c>
      <c r="EM73" s="110">
        <f>IF(SeilBeregnet=0,EM72,(EN:EN*EO:EO)^EM$3)</f>
        <v>1.7543741468269438</v>
      </c>
      <c r="EN73" s="110">
        <f>IF(SeilBeregnet=0,EN72,SeilBeregnet^0.5/Depl^0.33333)</f>
        <v>3.0611821273522284</v>
      </c>
      <c r="EO73" s="110">
        <f>IF(SeilBeregnet=0,EO72,((Loa+Lwl)/Bredde/6)^EO$3)</f>
        <v>1.0054379383551861</v>
      </c>
      <c r="EP73" s="110">
        <f>IF(SeilBeregnet=0,EP72,(Lwl*0.7+Loa*0.3)^EP$3)</f>
        <v>1.8419118031918562</v>
      </c>
      <c r="EQ73" s="110" t="str">
        <f>IF(SeilBeregnet=0,"-",EQ$7*(ES:ES+EQ$6)*EV:EV*PropF+ErfaringsF+Dyp_F)</f>
        <v>-</v>
      </c>
      <c r="ES73" s="110">
        <f>(ET:ET*EU:EU)^ES$3</f>
        <v>1.7544471107137862</v>
      </c>
      <c r="ET73" s="110">
        <f>IF(SeilBeregnet=0,ET72,SeilBeregnet^0.5/Depl^0.3333)</f>
        <v>3.0614367599132435</v>
      </c>
      <c r="EU73" s="110">
        <f>IF(SeilBeregnet=0,EU72,((Loa+Lwl)/Bredde/6)^EU$3)</f>
        <v>1.0054379383551861</v>
      </c>
      <c r="EV73" s="110">
        <f>IF(SeilBeregnet=0,EV72,(Lwl*0.7+Loa*0.3)^EV$3)</f>
        <v>1.8419118031918562</v>
      </c>
      <c r="EW73" s="110" t="str">
        <f>IF(SeilBeregnet=0,"-",EW$7*(EY:EY+EW$6)*FB:FB*PropF+ErfaringsF+Dyp_F)</f>
        <v>-</v>
      </c>
      <c r="EX73" s="144" t="str">
        <f t="shared" si="677"/>
        <v>-</v>
      </c>
      <c r="EY73" s="110">
        <f>(EZ:EZ*FA:FA)^EY$3</f>
        <v>3.0948230989484165</v>
      </c>
      <c r="EZ73" s="136">
        <f>IF(SeilBeregnet=0,EZ72,(SeilBeregnet^0.5/(Depl^0.3333))^EZ$3)</f>
        <v>3.0614367599132435</v>
      </c>
      <c r="FA73" s="136">
        <f>IF(SeilBeregnet=0,FA72,((Loa+Lwl)/Bredde/6)^FA$3)</f>
        <v>1.0109054478839272</v>
      </c>
      <c r="FB73" s="110">
        <f>IF(SeilBeregnet=0,FB72,(Lwl*0.07+Loa*0.03)^FB$3)</f>
        <v>1.0357831242906539</v>
      </c>
      <c r="FC73" s="110" t="str">
        <f>IF(SeilBeregnet=0,"-",FC$7*(FE:FE+FC$6)*FI:FI*PropF+ErfaringsF+Dyp_F)</f>
        <v>-</v>
      </c>
      <c r="FD73" s="144" t="str">
        <f t="shared" si="678"/>
        <v>-</v>
      </c>
      <c r="FE73" s="110">
        <f>(FF:FF+FG:FG+FH:FH)^FE$3+FE$7</f>
        <v>5.0211050135684641</v>
      </c>
      <c r="FF73" s="136">
        <f>IF(SeilBeregnet=0,FF72,(SeilBeregnet^0.5/(Depl^0.3333))^FF$3)</f>
        <v>3.0614367599132435</v>
      </c>
      <c r="FG73" s="136">
        <f>IF(SeilBeregnet=0,FG72,(SeilBeregnet^0.5/Lwl*FG$7)^FG$3)</f>
        <v>0.68262162037794294</v>
      </c>
      <c r="FH73" s="136">
        <f>IF(SeilBeregnet=0,FH72,((Loa)/Bredde)^FH$3*FH$7)</f>
        <v>1.7770466332772772</v>
      </c>
      <c r="FI73" s="110">
        <f>IF(SeilBeregnet=0,FI72,(Lwl)^FI$3)</f>
        <v>1.8334522799337654</v>
      </c>
      <c r="FJ73" s="110" t="str">
        <f>IF(SeilBeregnet=0,"-",FJ$7*(FL:FL+FJ$6)*FO:FO*PropF+ErfaringsF+Dyp_F)</f>
        <v>-</v>
      </c>
      <c r="FK73" s="144" t="str">
        <f t="shared" si="679"/>
        <v>-</v>
      </c>
      <c r="FL73" s="110">
        <f>(FM:FM*FN:FN)^FL$3</f>
        <v>5.4403158871951254</v>
      </c>
      <c r="FM73" s="136">
        <f>IF(SeilBeregnet=0,FM72,(SeilBeregnet^0.5/(Depl^0.3333))^FM$3)</f>
        <v>3.0614367599132435</v>
      </c>
      <c r="FN73" s="136">
        <f>IF(SeilBeregnet=0,FN72,(Loa/Bredde)^FN$3)</f>
        <v>1.7770466332772772</v>
      </c>
      <c r="FO73" s="110">
        <f>IF(SeilBeregnet=0,FO72,Lwl^FO$3)</f>
        <v>1.8334522799337654</v>
      </c>
      <c r="FQ73" s="374">
        <v>1</v>
      </c>
      <c r="FR73" s="64" t="str">
        <f t="shared" si="680"/>
        <v>-</v>
      </c>
      <c r="FS73" s="479"/>
      <c r="FT73" s="18"/>
      <c r="FU73" s="481"/>
      <c r="FV73" s="504"/>
      <c r="FW73" s="18"/>
      <c r="FX73" s="18"/>
      <c r="FY73" s="18"/>
      <c r="FZ73" s="18"/>
      <c r="GB73" s="18"/>
      <c r="GC73" s="481"/>
      <c r="GD73" s="8"/>
      <c r="GE73" s="8"/>
      <c r="GF73" s="8"/>
      <c r="GG73" s="8"/>
      <c r="GI73" s="18"/>
      <c r="GJ73" s="18"/>
      <c r="GK73" s="18"/>
      <c r="GL73" s="18"/>
      <c r="GM73" s="18"/>
      <c r="GN73" s="18"/>
      <c r="GO73" s="18"/>
      <c r="GP73" s="18"/>
    </row>
    <row r="74" spans="1:198" ht="15.6" x14ac:dyDescent="0.3">
      <c r="A74" s="62"/>
      <c r="B74" s="223"/>
      <c r="C74" s="63" t="str">
        <f t="shared" ref="C74" si="719">C73</f>
        <v>Gaffel</v>
      </c>
      <c r="D74" s="63"/>
      <c r="E74" s="63"/>
      <c r="F74" s="63"/>
      <c r="G74" s="56"/>
      <c r="H74" s="209" t="e">
        <f>TBFavrundet</f>
        <v>#VALUE!</v>
      </c>
      <c r="I74" s="65">
        <f>COUNTA(O74:AD74)</f>
        <v>0</v>
      </c>
      <c r="J74" s="228">
        <f>SUM(O74:AD74)</f>
        <v>0</v>
      </c>
      <c r="K74" s="119">
        <f>Seilareal/Depl^0.667/K$7</f>
        <v>0</v>
      </c>
      <c r="L74" s="119">
        <f>Seilareal/Lwl/Lwl/L$7</f>
        <v>0</v>
      </c>
      <c r="M74" s="95" t="e">
        <f>RiggF</f>
        <v>#DIV/0!</v>
      </c>
      <c r="N74" s="265" t="str">
        <f>StHfaktor</f>
        <v>-</v>
      </c>
      <c r="O74" s="147"/>
      <c r="P74" s="147"/>
      <c r="Q74" s="147"/>
      <c r="R74" s="147"/>
      <c r="S74" s="147"/>
      <c r="T74" s="147"/>
      <c r="U74" s="148"/>
      <c r="V74" s="148"/>
      <c r="W74" s="148"/>
      <c r="X74" s="148"/>
      <c r="Y74" s="147"/>
      <c r="Z74" s="147"/>
      <c r="AA74" s="147"/>
      <c r="AB74" s="147"/>
      <c r="AC74" s="147"/>
      <c r="AD74" s="148"/>
      <c r="AE74" s="260">
        <f t="shared" ref="AE74" si="720">AE73</f>
        <v>0</v>
      </c>
      <c r="AF74" s="375">
        <f t="shared" si="712"/>
        <v>0</v>
      </c>
      <c r="AG74" s="377"/>
      <c r="AH74" s="375">
        <f t="shared" si="712"/>
        <v>0</v>
      </c>
      <c r="AI74" s="377"/>
      <c r="AJ74" s="295" t="str">
        <f t="shared" si="713"/>
        <v>Meter</v>
      </c>
      <c r="AK74" s="47">
        <f>VLOOKUP(AJ74,Skrogform!$1:$1048576,3,FALSE)</f>
        <v>1</v>
      </c>
      <c r="AL74" s="66">
        <f t="shared" ref="AL74:AT74" si="721">AL73</f>
        <v>18.82</v>
      </c>
      <c r="AM74" s="66">
        <f t="shared" si="721"/>
        <v>11.96</v>
      </c>
      <c r="AN74" s="66">
        <f t="shared" si="721"/>
        <v>3.36</v>
      </c>
      <c r="AO74" s="66">
        <f t="shared" si="721"/>
        <v>2.6</v>
      </c>
      <c r="AP74" s="66">
        <f t="shared" si="721"/>
        <v>22</v>
      </c>
      <c r="AQ74" s="66">
        <f t="shared" si="721"/>
        <v>10</v>
      </c>
      <c r="AR74" s="66">
        <f t="shared" si="721"/>
        <v>0</v>
      </c>
      <c r="AS74" s="284">
        <f t="shared" si="721"/>
        <v>0</v>
      </c>
      <c r="AT74" s="284">
        <f t="shared" si="721"/>
        <v>0</v>
      </c>
      <c r="AU74" s="284">
        <f t="shared" ref="AU74:AV74" si="722">AU73</f>
        <v>0</v>
      </c>
      <c r="AV74" s="284">
        <f t="shared" si="722"/>
        <v>0</v>
      </c>
      <c r="AW74" s="284"/>
      <c r="AX74" s="284">
        <f>AX73</f>
        <v>0</v>
      </c>
      <c r="AY74" s="68"/>
      <c r="AZ74" s="68"/>
      <c r="BA74" s="289"/>
      <c r="BB74" s="68"/>
      <c r="BC74" s="179"/>
      <c r="BD74" s="68"/>
      <c r="BE74" s="68"/>
      <c r="BF74" s="67">
        <f t="shared" ref="BF74:BH74" si="723" xml:space="preserve"> BF73</f>
        <v>0</v>
      </c>
      <c r="BG74" s="295">
        <f t="shared" si="723"/>
        <v>0</v>
      </c>
      <c r="BH74" s="295">
        <f t="shared" si="723"/>
        <v>0</v>
      </c>
      <c r="BI74" s="47">
        <f t="shared" si="663"/>
        <v>1</v>
      </c>
      <c r="BJ74" s="61"/>
      <c r="BK74" s="61"/>
      <c r="BM74" s="51">
        <f t="shared" si="717"/>
        <v>0</v>
      </c>
      <c r="BN74" s="51">
        <f t="shared" si="717"/>
        <v>0</v>
      </c>
      <c r="BO74" s="51">
        <f t="shared" si="717"/>
        <v>0</v>
      </c>
      <c r="BP74" s="51">
        <f t="shared" si="717"/>
        <v>0</v>
      </c>
      <c r="BQ74" s="51">
        <f t="shared" si="717"/>
        <v>0</v>
      </c>
      <c r="BR74" s="51">
        <f t="shared" si="717"/>
        <v>0</v>
      </c>
      <c r="BS74" s="52">
        <f>IF(COUNT(P74:T74)&gt;1,MINA(P74:T74)*BS$9,0)</f>
        <v>0</v>
      </c>
      <c r="BT74" s="88">
        <f t="shared" si="718"/>
        <v>0</v>
      </c>
      <c r="BU74" s="88">
        <f t="shared" si="718"/>
        <v>0</v>
      </c>
      <c r="BV74" s="88">
        <f t="shared" si="718"/>
        <v>0</v>
      </c>
      <c r="BW74" s="88">
        <f t="shared" si="718"/>
        <v>0</v>
      </c>
      <c r="BX74" s="88">
        <f t="shared" si="718"/>
        <v>0</v>
      </c>
      <c r="BY74" s="88">
        <f t="shared" si="718"/>
        <v>0</v>
      </c>
      <c r="BZ74" s="88">
        <f t="shared" si="718"/>
        <v>0</v>
      </c>
      <c r="CA74" s="88">
        <f t="shared" si="718"/>
        <v>0</v>
      </c>
      <c r="CB74" s="88">
        <f t="shared" si="718"/>
        <v>0</v>
      </c>
      <c r="CC74" s="88">
        <f t="shared" si="718"/>
        <v>0</v>
      </c>
      <c r="CD74" s="103">
        <f>SUM(BM74:CC74)</f>
        <v>0</v>
      </c>
      <c r="CE74" s="52"/>
      <c r="CF74" s="107">
        <f>J74</f>
        <v>0</v>
      </c>
      <c r="CG74" s="104" t="e">
        <f>CD74/CF74</f>
        <v>#DIV/0!</v>
      </c>
      <c r="CH74" s="53">
        <f>Seilareal/Lwl/Lwl</f>
        <v>0</v>
      </c>
      <c r="CI74" s="119">
        <f>Seilareal/Depl^0.667/K$7</f>
        <v>0</v>
      </c>
      <c r="CJ74" s="53">
        <f>Seilareal/Lwl/Lwl/SApRS1</f>
        <v>0</v>
      </c>
      <c r="CK74" s="209"/>
      <c r="CL74" s="209" t="e">
        <f>(ROUND(TBF/CL$6,3)*CL$6)*CL$4</f>
        <v>#VALUE!</v>
      </c>
      <c r="CM74" s="110" t="str">
        <f t="shared" si="690"/>
        <v>-</v>
      </c>
      <c r="CN74" s="64" t="str">
        <f>IF(SeilBeregnet=0,"-",(SeilBeregnet)^(1/2)*StHfaktor/(Depl+DeplTillegg/1000+Vann/1000+Diesel/1000*0.84)^(1/3))</f>
        <v>-</v>
      </c>
      <c r="CO74" s="64" t="str">
        <f t="shared" si="659"/>
        <v>-</v>
      </c>
      <c r="CP74" s="64" t="str">
        <f t="shared" si="660"/>
        <v>-</v>
      </c>
      <c r="CQ74" s="110" t="str">
        <f t="shared" si="661"/>
        <v>-</v>
      </c>
      <c r="CR74" s="172" t="str">
        <f t="shared" si="691"/>
        <v>-</v>
      </c>
      <c r="CS74" s="162"/>
      <c r="CT74" s="172" t="str">
        <f t="shared" si="692"/>
        <v>-</v>
      </c>
      <c r="CU74" s="164"/>
      <c r="CV74" s="195" t="s">
        <v>145</v>
      </c>
      <c r="CW74" s="64" t="s">
        <v>111</v>
      </c>
      <c r="CX74" s="64" t="s">
        <v>111</v>
      </c>
      <c r="CY74" s="64" t="s">
        <v>111</v>
      </c>
      <c r="CZ74" s="154" t="s">
        <v>111</v>
      </c>
      <c r="DA74" s="64" t="str">
        <f t="shared" si="664"/>
        <v>-</v>
      </c>
      <c r="DB74" s="49">
        <f t="shared" si="665"/>
        <v>15.931372549019606</v>
      </c>
      <c r="DC74" s="50">
        <f t="shared" si="666"/>
        <v>0</v>
      </c>
      <c r="DE74" s="110" t="str">
        <f>IF(SeilBeregnet=0,"-",DE$7*(DG:DG+DE$6)*DL:DL*PropF+ErfaringsF+Dyp_F)</f>
        <v>-</v>
      </c>
      <c r="DF74" s="144" t="str">
        <f t="shared" si="667"/>
        <v>-</v>
      </c>
      <c r="DG74" s="110">
        <f t="shared" si="668"/>
        <v>4.8384833931905202</v>
      </c>
      <c r="DH74" s="136">
        <f>IF(SeilBeregnet=0,DH73,(SeilBeregnet^0.5/(Depl^0.3333))^DH$3*DH$7)</f>
        <v>3.0614367599132435</v>
      </c>
      <c r="DI74" s="136">
        <f>IF(SeilBeregnet=0,DI73,(SeilBeregnet^0.5/Lwl)^DI$3*DI$7)</f>
        <v>0</v>
      </c>
      <c r="DJ74" s="136">
        <f>IF(SeilBeregnet=0,DJ73,(0.1*Loa/Depl^0.3333)^DJ$3*DJ$7)</f>
        <v>0</v>
      </c>
      <c r="DK74" s="136">
        <f>IF(SeilBeregnet=0,DK73,((Loa)/Bredde)^DK$3*DK$7)</f>
        <v>1.7770466332772772</v>
      </c>
      <c r="DL74" s="110">
        <f>IF(SeilBeregnet=0,DL73,(Lwl)^DL$3)</f>
        <v>1.8334522799337654</v>
      </c>
      <c r="DM74" s="136">
        <f>IF(SeilBeregnet=0,DM73,(Dypg/Loa)^DM$3*5*DM$7)</f>
        <v>2.0916500663351889</v>
      </c>
      <c r="DO74" s="110" t="str">
        <f t="shared" si="669"/>
        <v>-</v>
      </c>
      <c r="DP74" s="110" t="str">
        <f t="shared" si="670"/>
        <v>-</v>
      </c>
      <c r="DR74" s="110" t="str">
        <f t="shared" si="671"/>
        <v>-</v>
      </c>
      <c r="DS74" s="125" t="str">
        <f t="shared" si="672"/>
        <v>-</v>
      </c>
      <c r="DT74" s="110" t="str">
        <f t="shared" si="673"/>
        <v>-</v>
      </c>
      <c r="DU74" s="125" t="str">
        <f t="shared" si="674"/>
        <v>-</v>
      </c>
      <c r="DV74" s="110">
        <f>IF(SeilBeregnet=0,DV73,SeilBeregnet^0.5/Depl^0.33333)</f>
        <v>3.0611821273522284</v>
      </c>
      <c r="DW74" s="110">
        <f>IF(SeilBeregnet=0,DW73,Lwl^0.3333)</f>
        <v>2.2438356573015867</v>
      </c>
      <c r="DX74" s="110">
        <f>IF(SeilBeregnet=0,DX73,((Loa+Lwl)/Bredde)^DX$3)</f>
        <v>1.5735954135403782</v>
      </c>
      <c r="DZ74" s="110" t="str">
        <f t="shared" si="675"/>
        <v>-</v>
      </c>
      <c r="EB74" s="110">
        <f>IF(SeilBeregnet=0,EB73,SeilBeregnet^0.5/Depl^0.33333)</f>
        <v>3.0611821273522284</v>
      </c>
      <c r="EC74" s="110">
        <f>IF(SeilBeregnet=0,EC73,Lwl^EC$3)</f>
        <v>2.2439988890031217</v>
      </c>
      <c r="ED74" s="110">
        <f>IF(SeilBeregnet=0,ED73,((Loa+Lwl)/Bredde)^ED$3)</f>
        <v>1.830197069920783</v>
      </c>
      <c r="EE74" s="110" t="str">
        <f t="shared" si="676"/>
        <v>-</v>
      </c>
      <c r="EG74" s="110">
        <f>IF(SeilBeregnet=0,EG73,(EH74*EI74)^EG$3)</f>
        <v>4.8170621556132449</v>
      </c>
      <c r="EH74" s="110">
        <f>IF(SeilBeregnet=0,EH73,SeilBeregnet^0.5/Depl^0.33333)</f>
        <v>3.0611821273522284</v>
      </c>
      <c r="EI74" s="110">
        <f>IF(SeilBeregnet=0,EI73,((Loa+Lwl)/Bredde)^EI$3)</f>
        <v>1.5735954135403782</v>
      </c>
      <c r="EJ74" s="110">
        <f>IF(SeilBeregnet=0,EJ73,Lwl^EJ$3)</f>
        <v>1.8334522799337654</v>
      </c>
      <c r="EK74" s="110" t="str">
        <f>IF(SeilBeregnet=0,"-",EK$7*(EK$4*EM:EM+EK$6)*EP:EP*PropF+ErfaringsF+Dyp_F)</f>
        <v>-</v>
      </c>
      <c r="EM74" s="110">
        <f>IF(SeilBeregnet=0,EM73,(EN:EN*EO:EO)^EM$3)</f>
        <v>1.7543741468269438</v>
      </c>
      <c r="EN74" s="110">
        <f>IF(SeilBeregnet=0,EN73,SeilBeregnet^0.5/Depl^0.33333)</f>
        <v>3.0611821273522284</v>
      </c>
      <c r="EO74" s="110">
        <f>IF(SeilBeregnet=0,EO73,((Loa+Lwl)/Bredde/6)^EO$3)</f>
        <v>1.0054379383551861</v>
      </c>
      <c r="EP74" s="110">
        <f>IF(SeilBeregnet=0,EP73,(Lwl*0.7+Loa*0.3)^EP$3)</f>
        <v>1.8419118031918562</v>
      </c>
      <c r="EQ74" s="110" t="str">
        <f>IF(SeilBeregnet=0,"-",EQ$7*(ES:ES+EQ$6)*EV:EV*PropF+ErfaringsF+Dyp_F)</f>
        <v>-</v>
      </c>
      <c r="ES74" s="110">
        <f>(ET:ET*EU:EU)^ES$3</f>
        <v>1.7544471107137862</v>
      </c>
      <c r="ET74" s="110">
        <f>IF(SeilBeregnet=0,ET73,SeilBeregnet^0.5/Depl^0.3333)</f>
        <v>3.0614367599132435</v>
      </c>
      <c r="EU74" s="110">
        <f>IF(SeilBeregnet=0,EU73,((Loa+Lwl)/Bredde/6)^EU$3)</f>
        <v>1.0054379383551861</v>
      </c>
      <c r="EV74" s="110">
        <f>IF(SeilBeregnet=0,EV73,(Lwl*0.7+Loa*0.3)^EV$3)</f>
        <v>1.8419118031918562</v>
      </c>
      <c r="EW74" s="110" t="str">
        <f>IF(SeilBeregnet=0,"-",EW$7*(EY:EY+EW$6)*FB:FB*PropF+ErfaringsF+Dyp_F)</f>
        <v>-</v>
      </c>
      <c r="EX74" s="144" t="str">
        <f t="shared" si="677"/>
        <v>-</v>
      </c>
      <c r="EY74" s="110">
        <f>(EZ:EZ*FA:FA)^EY$3</f>
        <v>3.0948230989484165</v>
      </c>
      <c r="EZ74" s="136">
        <f>IF(SeilBeregnet=0,EZ73,(SeilBeregnet^0.5/(Depl^0.3333))^EZ$3)</f>
        <v>3.0614367599132435</v>
      </c>
      <c r="FA74" s="136">
        <f>IF(SeilBeregnet=0,FA73,((Loa+Lwl)/Bredde/6)^FA$3)</f>
        <v>1.0109054478839272</v>
      </c>
      <c r="FB74" s="110">
        <f>IF(SeilBeregnet=0,FB73,(Lwl*0.07+Loa*0.03)^FB$3)</f>
        <v>1.0357831242906539</v>
      </c>
      <c r="FC74" s="110" t="str">
        <f>IF(SeilBeregnet=0,"-",FC$7*(FE:FE+FC$6)*FI:FI*PropF+ErfaringsF+Dyp_F)</f>
        <v>-</v>
      </c>
      <c r="FD74" s="144" t="str">
        <f t="shared" si="678"/>
        <v>-</v>
      </c>
      <c r="FE74" s="110">
        <f>(FF:FF+FG:FG+FH:FH)^FE$3+FE$7</f>
        <v>5.0211050135684641</v>
      </c>
      <c r="FF74" s="136">
        <f>IF(SeilBeregnet=0,FF73,(SeilBeregnet^0.5/(Depl^0.3333))^FF$3)</f>
        <v>3.0614367599132435</v>
      </c>
      <c r="FG74" s="136">
        <f>IF(SeilBeregnet=0,FG73,(SeilBeregnet^0.5/Lwl*FG$7)^FG$3)</f>
        <v>0.68262162037794294</v>
      </c>
      <c r="FH74" s="136">
        <f>IF(SeilBeregnet=0,FH73,((Loa)/Bredde)^FH$3*FH$7)</f>
        <v>1.7770466332772772</v>
      </c>
      <c r="FI74" s="110">
        <f>IF(SeilBeregnet=0,FI73,(Lwl)^FI$3)</f>
        <v>1.8334522799337654</v>
      </c>
      <c r="FJ74" s="110" t="str">
        <f>IF(SeilBeregnet=0,"-",FJ$7*(FL:FL+FJ$6)*FO:FO*PropF+ErfaringsF+Dyp_F)</f>
        <v>-</v>
      </c>
      <c r="FK74" s="144" t="str">
        <f t="shared" si="679"/>
        <v>-</v>
      </c>
      <c r="FL74" s="110">
        <f>(FM:FM*FN:FN)^FL$3</f>
        <v>5.4403158871951254</v>
      </c>
      <c r="FM74" s="136">
        <f>IF(SeilBeregnet=0,FM73,(SeilBeregnet^0.5/(Depl^0.3333))^FM$3)</f>
        <v>3.0614367599132435</v>
      </c>
      <c r="FN74" s="136">
        <f>IF(SeilBeregnet=0,FN73,(Loa/Bredde)^FN$3)</f>
        <v>1.7770466332772772</v>
      </c>
      <c r="FO74" s="110">
        <f>IF(SeilBeregnet=0,FO73,Lwl^FO$3)</f>
        <v>1.8334522799337654</v>
      </c>
      <c r="FQ74" s="374">
        <v>1</v>
      </c>
      <c r="FR74" s="64" t="str">
        <f t="shared" si="680"/>
        <v>-</v>
      </c>
      <c r="FS74" s="479"/>
      <c r="FT74" s="18"/>
      <c r="FU74" s="481"/>
      <c r="FV74" s="504"/>
      <c r="FW74" s="18"/>
      <c r="FX74" s="18"/>
      <c r="FY74" s="18"/>
      <c r="FZ74" s="18"/>
      <c r="GB74" s="18"/>
      <c r="GC74" s="481"/>
      <c r="GD74" s="8"/>
      <c r="GE74" s="8"/>
      <c r="GF74" s="8"/>
      <c r="GG74" s="8"/>
      <c r="GI74" s="18"/>
      <c r="GJ74" s="18"/>
      <c r="GK74" s="18"/>
      <c r="GL74" s="18"/>
      <c r="GM74" s="18"/>
      <c r="GN74" s="18"/>
      <c r="GO74" s="18"/>
      <c r="GP74" s="18"/>
    </row>
    <row r="75" spans="1:198" ht="15.6" x14ac:dyDescent="0.3">
      <c r="A75" s="54" t="s">
        <v>745</v>
      </c>
      <c r="B75" s="223">
        <f t="shared" si="199"/>
        <v>34.776902887139101</v>
      </c>
      <c r="C75" s="55" t="s">
        <v>41</v>
      </c>
      <c r="D75" s="55"/>
      <c r="E75" s="55"/>
      <c r="F75" s="55"/>
      <c r="G75" s="56"/>
      <c r="H75" s="209"/>
      <c r="I75" s="126" t="str">
        <f>A75</f>
        <v>Era</v>
      </c>
      <c r="J75" s="229"/>
      <c r="K75" s="119"/>
      <c r="L75" s="119"/>
      <c r="M75" s="95"/>
      <c r="N75" s="265"/>
      <c r="O75" s="169"/>
      <c r="P75" s="169"/>
      <c r="Q75" s="169"/>
      <c r="R75" s="169"/>
      <c r="S75" s="169"/>
      <c r="T75" s="169">
        <v>10.199999999999999</v>
      </c>
      <c r="U75" s="169"/>
      <c r="V75" s="169"/>
      <c r="W75" s="169"/>
      <c r="X75" s="169"/>
      <c r="Y75" s="169"/>
      <c r="Z75" s="169"/>
      <c r="AA75" s="169"/>
      <c r="AB75" s="169">
        <v>29.8</v>
      </c>
      <c r="AC75" s="169"/>
      <c r="AD75" s="169"/>
      <c r="AE75" s="263">
        <v>10</v>
      </c>
      <c r="AF75" s="296"/>
      <c r="AG75" s="377"/>
      <c r="AH75" s="296"/>
      <c r="AI75" s="377"/>
      <c r="AJ75" s="296" t="s">
        <v>240</v>
      </c>
      <c r="AK75" s="47">
        <f>VLOOKUP(AJ75,Skrogform!$1:$1048576,3,FALSE)</f>
        <v>1</v>
      </c>
      <c r="AL75" s="57">
        <v>10.6</v>
      </c>
      <c r="AM75" s="57"/>
      <c r="AN75" s="57">
        <v>2.06</v>
      </c>
      <c r="AO75" s="57"/>
      <c r="AP75" s="57">
        <v>3.23</v>
      </c>
      <c r="AQ75" s="57">
        <v>2.0499999999999998</v>
      </c>
      <c r="AR75" s="57"/>
      <c r="AS75" s="281">
        <v>7</v>
      </c>
      <c r="AT75" s="282">
        <f>AS75*7</f>
        <v>49</v>
      </c>
      <c r="AU75" s="281">
        <f>ROUND(Depl*10,-2)</f>
        <v>0</v>
      </c>
      <c r="AV75" s="281">
        <f>ROUND(Depl*10,-2)</f>
        <v>0</v>
      </c>
      <c r="AW75" s="270">
        <f>Depl+Diesel/1000+Vann/1000</f>
        <v>3.23</v>
      </c>
      <c r="AX75" s="281"/>
      <c r="AY75" s="98">
        <f>Bredde/(Loa+Lwl)*2</f>
        <v>0.38867924528301889</v>
      </c>
      <c r="AZ75" s="98">
        <f>(Kjøl+Ballast)/Depl</f>
        <v>0.6346749226006192</v>
      </c>
      <c r="BA75" s="288" t="e">
        <f>BA$7*((Depl-Kjøl-Ballast-VektMotor/1000-VektAnnet/1000)/Loa/Lwl/Bredde)</f>
        <v>#DIV/0!</v>
      </c>
      <c r="BB75" s="98" t="e">
        <f>BB$7*(Depl/Loa/Lwl/Lwl)</f>
        <v>#DIV/0!</v>
      </c>
      <c r="BC75" s="178" t="e">
        <f>BC$7*(Depl/Loa/Lwl/Bredde)</f>
        <v>#DIV/0!</v>
      </c>
      <c r="BD75" s="98">
        <f>BD$7*Bredde/(Loa+Lwl)*2</f>
        <v>1.108780685737472</v>
      </c>
      <c r="BE75" s="98" t="e">
        <f>BE$7*(Dypg/Lwl)</f>
        <v>#DIV/0!</v>
      </c>
      <c r="BF75" s="58"/>
      <c r="BG75" s="296"/>
      <c r="BH75" s="296"/>
      <c r="BI75" s="47">
        <f t="shared" si="663"/>
        <v>1</v>
      </c>
      <c r="BJ75" s="61"/>
      <c r="BK75" s="61"/>
      <c r="BM75" s="214"/>
      <c r="BN75" s="214" t="str">
        <f>$A75</f>
        <v>Era</v>
      </c>
      <c r="BO75" s="10"/>
      <c r="BP75" s="10"/>
      <c r="BQ75" s="10"/>
      <c r="BR75" s="10"/>
      <c r="BS75" s="52"/>
      <c r="BT75" s="214" t="str">
        <f>$A75</f>
        <v>Era</v>
      </c>
      <c r="BU75" s="10"/>
      <c r="BV75" s="10"/>
      <c r="BW75" s="10"/>
      <c r="BX75" s="10"/>
      <c r="BY75" s="10"/>
      <c r="BZ75" s="10"/>
      <c r="CA75" s="10"/>
      <c r="CB75" s="10"/>
      <c r="CC75" s="10"/>
      <c r="CD75" s="214"/>
      <c r="CE75" s="10"/>
      <c r="CF75" s="214" t="str">
        <f>$A75</f>
        <v>Era</v>
      </c>
      <c r="CG75" s="212"/>
      <c r="CH75" s="212"/>
      <c r="CI75" s="119"/>
      <c r="CJ75" s="212"/>
      <c r="CK75" s="208"/>
      <c r="CL75" s="208" t="s">
        <v>26</v>
      </c>
      <c r="CM75" s="110" t="str">
        <f t="shared" si="690"/>
        <v>-</v>
      </c>
      <c r="CN75" s="64" t="str">
        <f>IF(SeilBeregnet=0,"-",(SeilBeregnet)^(1/2)*StHfaktor/(Depl+DeplTillegg/1000+Vann/1000+Diesel/1000*0.84)^(1/3))</f>
        <v>-</v>
      </c>
      <c r="CO75" s="64" t="str">
        <f t="shared" si="659"/>
        <v>-</v>
      </c>
      <c r="CP75" s="64" t="str">
        <f t="shared" si="660"/>
        <v>-</v>
      </c>
      <c r="CQ75" s="110" t="str">
        <f t="shared" si="661"/>
        <v>-</v>
      </c>
      <c r="CR75" s="172" t="str">
        <f t="shared" si="691"/>
        <v>-</v>
      </c>
      <c r="CS75" s="162"/>
      <c r="CT75" s="172" t="str">
        <f t="shared" si="692"/>
        <v>-</v>
      </c>
      <c r="CU75" s="164">
        <v>1.2</v>
      </c>
      <c r="CV75" s="195" t="s">
        <v>145</v>
      </c>
      <c r="CW75" s="30" t="s">
        <v>26</v>
      </c>
      <c r="CX75" s="30" t="s">
        <v>26</v>
      </c>
      <c r="CY75" s="30" t="s">
        <v>26</v>
      </c>
      <c r="CZ75" s="153">
        <v>2022</v>
      </c>
      <c r="DA75" s="64" t="str">
        <f t="shared" si="664"/>
        <v>-</v>
      </c>
      <c r="DB75" s="49">
        <f t="shared" si="665"/>
        <v>0</v>
      </c>
      <c r="DC75" s="50">
        <f t="shared" si="666"/>
        <v>0</v>
      </c>
      <c r="DE75" s="110" t="str">
        <f>IF(SeilBeregnet=0,"-",DE$7*(DG:DG+DE$6)*DL:DL*PropF+ErfaringsF+Dyp_F)</f>
        <v>-</v>
      </c>
      <c r="DF75" s="144" t="str">
        <f t="shared" si="667"/>
        <v>-</v>
      </c>
      <c r="DG75" s="110">
        <f t="shared" si="668"/>
        <v>5.297470974741767</v>
      </c>
      <c r="DH75" s="136">
        <f>IF(SeilBeregnet=0,DH56,(SeilBeregnet^0.5/(Depl^0.3333))^DH$3*DH$7)</f>
        <v>3.4328680180653302</v>
      </c>
      <c r="DI75" s="136">
        <f>IF(SeilBeregnet=0,DI56,(SeilBeregnet^0.5/Lwl)^DI$3*DI$7)</f>
        <v>0</v>
      </c>
      <c r="DJ75" s="136">
        <f>IF(SeilBeregnet=0,DJ56,(0.1*Loa/Depl^0.3333)^DJ$3*DJ$7)</f>
        <v>0</v>
      </c>
      <c r="DK75" s="136">
        <f>IF(SeilBeregnet=0,DK56,((Loa)/Bredde)^DK$3*DK$7)</f>
        <v>1.8646029566764373</v>
      </c>
      <c r="DL75" s="110">
        <f>IF(SeilBeregnet=0,DL56,(Lwl)^DL$3)</f>
        <v>1.8859172433475835</v>
      </c>
      <c r="DM75" s="136">
        <f>IF(SeilBeregnet=0,DM56,(Dypg/Loa)^DM$3*5*DM$7)</f>
        <v>2.0446520502738266</v>
      </c>
      <c r="DO75" s="110" t="str">
        <f t="shared" si="669"/>
        <v>-</v>
      </c>
      <c r="DP75" s="110" t="str">
        <f t="shared" si="670"/>
        <v>-</v>
      </c>
      <c r="DR75" s="110" t="str">
        <f t="shared" si="671"/>
        <v>-</v>
      </c>
      <c r="DS75" s="125" t="str">
        <f t="shared" si="672"/>
        <v>-</v>
      </c>
      <c r="DT75" s="110" t="str">
        <f t="shared" si="673"/>
        <v>-</v>
      </c>
      <c r="DU75" s="125" t="str">
        <f t="shared" si="674"/>
        <v>-</v>
      </c>
      <c r="DV75" s="110">
        <f>IF(SeilBeregnet=0,DV56,SeilBeregnet^0.5/Depl^0.33333)</f>
        <v>3.4325248646686957</v>
      </c>
      <c r="DW75" s="110">
        <f>IF(SeilBeregnet=0,DW56,Lwl^0.3333)</f>
        <v>2.3298436208665341</v>
      </c>
      <c r="DX75" s="110">
        <f>IF(SeilBeregnet=0,DX56,((Loa+Lwl)/Bredde)^DX$3)</f>
        <v>1.5916961163398649</v>
      </c>
      <c r="DZ75" s="110" t="str">
        <f t="shared" si="675"/>
        <v>-</v>
      </c>
      <c r="EB75" s="110">
        <f>IF(SeilBeregnet=0,EB56,SeilBeregnet^0.5/Depl^0.33333)</f>
        <v>3.4325248646686957</v>
      </c>
      <c r="EC75" s="110">
        <f>IF(SeilBeregnet=0,EC56,Lwl^EC$3)</f>
        <v>2.3300209979525235</v>
      </c>
      <c r="ED75" s="110">
        <f>IF(SeilBeregnet=0,ED56,((Loa+Lwl)/Bredde)^ED$3)</f>
        <v>1.8583176886572534</v>
      </c>
      <c r="EE75" s="110" t="str">
        <f t="shared" si="676"/>
        <v>-</v>
      </c>
      <c r="EG75" s="110">
        <f>IF(SeilBeregnet=0,EG56,(EH75*EI75)^EG$3)</f>
        <v>5.4635364963331829</v>
      </c>
      <c r="EH75" s="110">
        <f>IF(SeilBeregnet=0,EH56,SeilBeregnet^0.5/Depl^0.33333)</f>
        <v>3.4325248646686957</v>
      </c>
      <c r="EI75" s="110">
        <f>IF(SeilBeregnet=0,EI56,((Loa+Lwl)/Bredde)^EI$3)</f>
        <v>1.5916961163398649</v>
      </c>
      <c r="EJ75" s="110">
        <f>IF(SeilBeregnet=0,EJ56,Lwl^EJ$3)</f>
        <v>1.8859172433475835</v>
      </c>
      <c r="EK75" s="110" t="str">
        <f>IF(SeilBeregnet=0,"-",EK$7*(EK$4*EM:EM+EK$6)*EP:EP*PropF+ErfaringsF+Dyp_F)</f>
        <v>-</v>
      </c>
      <c r="EM75" s="110">
        <f>IF(SeilBeregnet=0,EM56,(EN:EN*EO:EO)^EM$3)</f>
        <v>1.8683920812104529</v>
      </c>
      <c r="EN75" s="110">
        <f>IF(SeilBeregnet=0,EN56,SeilBeregnet^0.5/Depl^0.33333)</f>
        <v>3.4325248646686957</v>
      </c>
      <c r="EO75" s="110">
        <f>IF(SeilBeregnet=0,EO56,((Loa+Lwl)/Bredde/6)^EO$3)</f>
        <v>1.0170032575909294</v>
      </c>
      <c r="EP75" s="110">
        <f>IF(SeilBeregnet=0,EP56,(Lwl*0.7+Loa*0.3)^EP$3)</f>
        <v>1.9111244003334622</v>
      </c>
      <c r="EQ75" s="110" t="str">
        <f>IF(SeilBeregnet=0,"-",EQ$7*(ES:ES+EQ$6)*EV:EV*PropF+ErfaringsF+Dyp_F)</f>
        <v>-</v>
      </c>
      <c r="ES75" s="110">
        <f>(ET:ET*EU:EU)^ES$3</f>
        <v>1.8684854715121972</v>
      </c>
      <c r="ET75" s="110">
        <f>IF(SeilBeregnet=0,ET56,SeilBeregnet^0.5/Depl^0.3333)</f>
        <v>3.4328680180653302</v>
      </c>
      <c r="EU75" s="110">
        <f>IF(SeilBeregnet=0,EU56,((Loa+Lwl)/Bredde/6)^EU$3)</f>
        <v>1.0170032575909294</v>
      </c>
      <c r="EV75" s="110">
        <f>IF(SeilBeregnet=0,EV56,(Lwl*0.7+Loa*0.3)^EV$3)</f>
        <v>1.9111244003334622</v>
      </c>
      <c r="EW75" s="110" t="str">
        <f>IF(SeilBeregnet=0,"-",EW$7*(EY:EY+EW$6)*FB:FB*PropF+ErfaringsF+Dyp_F)</f>
        <v>-</v>
      </c>
      <c r="EX75" s="144" t="str">
        <f t="shared" si="677"/>
        <v>-</v>
      </c>
      <c r="EY75" s="110">
        <f>(EZ:EZ*FA:FA)^EY$3</f>
        <v>3.5506003755505469</v>
      </c>
      <c r="EZ75" s="136">
        <f>IF(SeilBeregnet=0,EZ56,(SeilBeregnet^0.5/(Depl^0.3333))^EZ$3)</f>
        <v>3.4328680180653302</v>
      </c>
      <c r="FA75" s="136">
        <f>IF(SeilBeregnet=0,FA56,((Loa+Lwl)/Bredde/6)^FA$3)</f>
        <v>1.0342956259505622</v>
      </c>
      <c r="FB75" s="110">
        <f>IF(SeilBeregnet=0,FB56,(Lwl*0.07+Loa*0.03)^FB$3)</f>
        <v>1.0747042278871302</v>
      </c>
      <c r="FC75" s="110" t="str">
        <f>IF(SeilBeregnet=0,"-",FC$7*(FE:FE+FC$6)*FI:FI*PropF+ErfaringsF+Dyp_F)</f>
        <v>-</v>
      </c>
      <c r="FD75" s="144" t="str">
        <f t="shared" si="678"/>
        <v>-</v>
      </c>
      <c r="FE75" s="110">
        <f>(FF:FF+FG:FG+FH:FH)^FE$3+FE$7</f>
        <v>5.621427605305902</v>
      </c>
      <c r="FF75" s="136">
        <f>IF(SeilBeregnet=0,FF56,(SeilBeregnet^0.5/(Depl^0.3333))^FF$3)</f>
        <v>3.4328680180653302</v>
      </c>
      <c r="FG75" s="136">
        <f>IF(SeilBeregnet=0,FG56,(SeilBeregnet^0.5/Lwl*FG$7)^FG$3)</f>
        <v>0.82395663056413493</v>
      </c>
      <c r="FH75" s="136">
        <f>IF(SeilBeregnet=0,FH56,((Loa)/Bredde)^FH$3*FH$7)</f>
        <v>1.8646029566764373</v>
      </c>
      <c r="FI75" s="110">
        <f>IF(SeilBeregnet=0,FI56,(Lwl)^FI$3)</f>
        <v>1.8859172433475835</v>
      </c>
      <c r="FJ75" s="110" t="str">
        <f>IF(SeilBeregnet=0,"-",FJ$7*(FL:FL+FJ$6)*FO:FO*PropF+ErfaringsF+Dyp_F)</f>
        <v>-</v>
      </c>
      <c r="FK75" s="144" t="str">
        <f t="shared" si="679"/>
        <v>-</v>
      </c>
      <c r="FL75" s="110">
        <f>(FM:FM*FN:FN)^FL$3</f>
        <v>6.4009358563645957</v>
      </c>
      <c r="FM75" s="136">
        <f>IF(SeilBeregnet=0,FM56,(SeilBeregnet^0.5/(Depl^0.3333))^FM$3)</f>
        <v>3.4328680180653302</v>
      </c>
      <c r="FN75" s="136">
        <f>IF(SeilBeregnet=0,FN56,(Loa/Bredde)^FN$3)</f>
        <v>1.8646029566764373</v>
      </c>
      <c r="FO75" s="110">
        <f>IF(SeilBeregnet=0,FO56,Lwl^FO$3)</f>
        <v>1.8859172433475835</v>
      </c>
      <c r="FP75" s="569">
        <v>1.27</v>
      </c>
      <c r="FQ75" s="374">
        <v>1</v>
      </c>
      <c r="FR75" s="64" t="str">
        <f>IF(SeilBeregnet=0,"-",0.06*2.43^(1/2)*(SeilBeregnet^(1/2)/Depl^(1/3)+(Loa/Bredde)^(1/2)+5*(Dypg/Loa)^(1/2))*Lwl^(1/4)*FQ75)</f>
        <v>-</v>
      </c>
      <c r="FS75" s="480" t="s">
        <v>747</v>
      </c>
      <c r="FT75" s="59" t="s">
        <v>746</v>
      </c>
      <c r="FU75" s="475" t="s">
        <v>748</v>
      </c>
      <c r="FV75" s="77" t="s">
        <v>522</v>
      </c>
      <c r="FW75" s="59" t="s">
        <v>728</v>
      </c>
      <c r="FX75" s="59" t="s">
        <v>787</v>
      </c>
      <c r="FY75" s="59" t="s">
        <v>455</v>
      </c>
      <c r="FZ75" s="59" t="s">
        <v>750</v>
      </c>
      <c r="GB75" s="59" t="s">
        <v>522</v>
      </c>
      <c r="GC75" s="475" t="s">
        <v>749</v>
      </c>
      <c r="GD75" s="60" t="s">
        <v>522</v>
      </c>
      <c r="GE75" s="60" t="s">
        <v>522</v>
      </c>
      <c r="GF75" s="60" t="s">
        <v>522</v>
      </c>
      <c r="GG75" s="60" t="s">
        <v>522</v>
      </c>
      <c r="GI75" s="59" t="s">
        <v>234</v>
      </c>
      <c r="GJ75" s="59" t="s">
        <v>751</v>
      </c>
      <c r="GK75" s="59" t="s">
        <v>752</v>
      </c>
      <c r="GL75" s="59" t="s">
        <v>555</v>
      </c>
      <c r="GM75" s="59">
        <v>1933</v>
      </c>
      <c r="GN75" s="59" t="s">
        <v>470</v>
      </c>
      <c r="GO75" s="59" t="s">
        <v>753</v>
      </c>
      <c r="GP75" s="59" t="s">
        <v>522</v>
      </c>
    </row>
    <row r="76" spans="1:198" ht="15.6" x14ac:dyDescent="0.3">
      <c r="A76" s="62" t="s">
        <v>36</v>
      </c>
      <c r="B76" s="223"/>
      <c r="C76" s="63" t="str">
        <f>C75</f>
        <v>Bermuda</v>
      </c>
      <c r="D76" s="63"/>
      <c r="E76" s="63"/>
      <c r="F76" s="63"/>
      <c r="G76" s="56"/>
      <c r="H76" s="209" t="e">
        <f>TBFavrundet</f>
        <v>#DIV/0!</v>
      </c>
      <c r="I76" s="65">
        <f>COUNTA(O76:AD76)</f>
        <v>2</v>
      </c>
      <c r="J76" s="228">
        <f>SUM(O76:AD76)</f>
        <v>40</v>
      </c>
      <c r="K76" s="119">
        <f>Seilareal/Depl^0.667/K$7</f>
        <v>1.6731129854448583</v>
      </c>
      <c r="L76" s="119" t="e">
        <f>Seilareal/Lwl/Lwl/L$7</f>
        <v>#DIV/0!</v>
      </c>
      <c r="M76" s="95">
        <f>RiggF</f>
        <v>1</v>
      </c>
      <c r="N76" s="265" t="e">
        <f>StHfaktor</f>
        <v>#DIV/0!</v>
      </c>
      <c r="O76" s="147"/>
      <c r="P76" s="147"/>
      <c r="Q76" s="147"/>
      <c r="R76" s="147"/>
      <c r="S76" s="147"/>
      <c r="T76" s="169">
        <v>10.199999999999999</v>
      </c>
      <c r="U76" s="148"/>
      <c r="V76" s="148"/>
      <c r="W76" s="148"/>
      <c r="X76" s="148"/>
      <c r="Y76" s="147"/>
      <c r="Z76" s="147"/>
      <c r="AA76" s="147"/>
      <c r="AB76" s="169">
        <v>29.8</v>
      </c>
      <c r="AC76" s="147"/>
      <c r="AD76" s="148"/>
      <c r="AE76" s="260">
        <f t="shared" ref="AE76" si="724">AE75</f>
        <v>10</v>
      </c>
      <c r="AF76" s="375">
        <f t="shared" ref="AF76" si="725" xml:space="preserve"> AF75</f>
        <v>0</v>
      </c>
      <c r="AG76" s="377"/>
      <c r="AH76" s="375">
        <f t="shared" ref="AH76" si="726" xml:space="preserve"> AH75</f>
        <v>0</v>
      </c>
      <c r="AI76" s="377"/>
      <c r="AJ76" s="295" t="str">
        <f t="shared" ref="AJ76" si="727" xml:space="preserve"> AJ75</f>
        <v>Meter</v>
      </c>
      <c r="AK76" s="47">
        <f>VLOOKUP(AJ76,Skrogform!$1:$1048576,3,FALSE)</f>
        <v>1</v>
      </c>
      <c r="AL76" s="66">
        <f t="shared" ref="AL76:AV76" si="728">AL75</f>
        <v>10.6</v>
      </c>
      <c r="AM76" s="66">
        <f t="shared" si="728"/>
        <v>0</v>
      </c>
      <c r="AN76" s="66">
        <f t="shared" si="728"/>
        <v>2.06</v>
      </c>
      <c r="AO76" s="66">
        <f t="shared" si="728"/>
        <v>0</v>
      </c>
      <c r="AP76" s="66">
        <f t="shared" si="728"/>
        <v>3.23</v>
      </c>
      <c r="AQ76" s="66">
        <f t="shared" si="728"/>
        <v>2.0499999999999998</v>
      </c>
      <c r="AR76" s="66">
        <f t="shared" si="728"/>
        <v>0</v>
      </c>
      <c r="AS76" s="284">
        <f t="shared" si="728"/>
        <v>7</v>
      </c>
      <c r="AT76" s="284">
        <f t="shared" si="728"/>
        <v>49</v>
      </c>
      <c r="AU76" s="284">
        <f t="shared" si="728"/>
        <v>0</v>
      </c>
      <c r="AV76" s="284">
        <f t="shared" si="728"/>
        <v>0</v>
      </c>
      <c r="AW76" s="284"/>
      <c r="AX76" s="284">
        <f>AX75</f>
        <v>0</v>
      </c>
      <c r="AY76" s="68"/>
      <c r="AZ76" s="68"/>
      <c r="BA76" s="289"/>
      <c r="BB76" s="68"/>
      <c r="BC76" s="179"/>
      <c r="BD76" s="68"/>
      <c r="BE76" s="68"/>
      <c r="BF76" s="67">
        <f t="shared" ref="BF76:BH76" si="729" xml:space="preserve"> BF75</f>
        <v>0</v>
      </c>
      <c r="BG76" s="295">
        <f t="shared" si="729"/>
        <v>0</v>
      </c>
      <c r="BH76" s="295">
        <f t="shared" si="729"/>
        <v>0</v>
      </c>
      <c r="BI76" s="47">
        <f t="shared" si="663"/>
        <v>1</v>
      </c>
      <c r="BJ76" s="61"/>
      <c r="BK76" s="61"/>
      <c r="BM76" s="51">
        <f t="shared" ref="BM76:BR76" si="730">IF(O76=0,0,O76*BM$9)</f>
        <v>0</v>
      </c>
      <c r="BN76" s="51">
        <f t="shared" si="730"/>
        <v>0</v>
      </c>
      <c r="BO76" s="51">
        <f t="shared" si="730"/>
        <v>0</v>
      </c>
      <c r="BP76" s="51">
        <f t="shared" si="730"/>
        <v>0</v>
      </c>
      <c r="BQ76" s="51">
        <f t="shared" si="730"/>
        <v>0</v>
      </c>
      <c r="BR76" s="51">
        <f t="shared" si="730"/>
        <v>10.199999999999999</v>
      </c>
      <c r="BS76" s="52">
        <f>IF(COUNT(P76:T76)&gt;1,MINA(P76:T76)*BS$9,0)</f>
        <v>0</v>
      </c>
      <c r="BT76" s="88">
        <f t="shared" ref="BT76:CC76" si="731">IF(U76=0,0,U76*BT$9)</f>
        <v>0</v>
      </c>
      <c r="BU76" s="88">
        <f t="shared" si="731"/>
        <v>0</v>
      </c>
      <c r="BV76" s="88">
        <f t="shared" si="731"/>
        <v>0</v>
      </c>
      <c r="BW76" s="88">
        <f t="shared" si="731"/>
        <v>0</v>
      </c>
      <c r="BX76" s="88">
        <f t="shared" si="731"/>
        <v>0</v>
      </c>
      <c r="BY76" s="88">
        <f t="shared" si="731"/>
        <v>0</v>
      </c>
      <c r="BZ76" s="88">
        <f t="shared" si="731"/>
        <v>0</v>
      </c>
      <c r="CA76" s="88">
        <f t="shared" si="731"/>
        <v>29.8</v>
      </c>
      <c r="CB76" s="88">
        <f t="shared" si="731"/>
        <v>0</v>
      </c>
      <c r="CC76" s="88">
        <f t="shared" si="731"/>
        <v>0</v>
      </c>
      <c r="CD76" s="103">
        <f>SUM(BM76:CC76)</f>
        <v>40</v>
      </c>
      <c r="CE76" s="52"/>
      <c r="CF76" s="107">
        <f>J76</f>
        <v>40</v>
      </c>
      <c r="CG76" s="104">
        <f>CD76/CF76</f>
        <v>1</v>
      </c>
      <c r="CH76" s="53" t="e">
        <f>Seilareal/Lwl/Lwl</f>
        <v>#DIV/0!</v>
      </c>
      <c r="CI76" s="119">
        <f>Seilareal/Depl^0.667/K$7</f>
        <v>1.6731129854448583</v>
      </c>
      <c r="CJ76" s="53" t="e">
        <f>Seilareal/Lwl/Lwl/SApRS1</f>
        <v>#DIV/0!</v>
      </c>
      <c r="CK76" s="209"/>
      <c r="CL76" s="209" t="e">
        <f>(ROUND(TBF/CL$6,3)*CL$6)*CL$4</f>
        <v>#DIV/0!</v>
      </c>
      <c r="CM76" s="110" t="e">
        <f t="shared" si="690"/>
        <v>#DIV/0!</v>
      </c>
      <c r="CN76" s="64" t="e">
        <f>IF(SeilBeregnet=0,"-",(SeilBeregnet)^(1/2)*StHfaktor/(Depl+DeplTillegg/1000+Vann/1000+Diesel/1000*0.84)^(1/3))</f>
        <v>#DIV/0!</v>
      </c>
      <c r="CO76" s="64">
        <f t="shared" si="659"/>
        <v>1.6039998547320951</v>
      </c>
      <c r="CP76" s="64">
        <f t="shared" si="660"/>
        <v>0</v>
      </c>
      <c r="CQ76" s="110" t="e">
        <f t="shared" si="661"/>
        <v>#DIV/0!</v>
      </c>
      <c r="CR76" s="172" t="str">
        <f t="shared" si="691"/>
        <v>-</v>
      </c>
      <c r="CS76" s="163">
        <f>CS75</f>
        <v>0</v>
      </c>
      <c r="CT76" s="172" t="e">
        <f t="shared" si="692"/>
        <v>#DIV/0!</v>
      </c>
      <c r="CU76" s="163">
        <f>CU75</f>
        <v>1.2</v>
      </c>
      <c r="CV76" s="195" t="s">
        <v>145</v>
      </c>
      <c r="CW76" s="64" t="s">
        <v>111</v>
      </c>
      <c r="CX76" s="64" t="s">
        <v>111</v>
      </c>
      <c r="CY76" s="64" t="s">
        <v>111</v>
      </c>
      <c r="CZ76" s="154" t="s">
        <v>111</v>
      </c>
      <c r="DA76" s="64">
        <f t="shared" si="664"/>
        <v>0</v>
      </c>
      <c r="DB76" s="49">
        <f t="shared" si="665"/>
        <v>0</v>
      </c>
      <c r="DC76" s="50">
        <f t="shared" si="666"/>
        <v>0</v>
      </c>
      <c r="DE76" s="110" t="e">
        <f>IF(SeilBeregnet=0,"-",DE$7*(DG:DG+DE$6)*DL:DL*PropF+ErfaringsF+Dyp_F)</f>
        <v>#DIV/0!</v>
      </c>
      <c r="DF76" s="144" t="str">
        <f t="shared" si="667"/>
        <v>-</v>
      </c>
      <c r="DG76" s="110" t="e">
        <f t="shared" si="668"/>
        <v>#DIV/0!</v>
      </c>
      <c r="DH76" s="136">
        <f>IF(SeilBeregnet=0,DH75,(SeilBeregnet^0.5/(Depl^0.3333))^DH$3*DH$7)</f>
        <v>4.2787094370194128</v>
      </c>
      <c r="DI76" s="136" t="e">
        <f>IF(SeilBeregnet=0,DI75,(SeilBeregnet^0.5/Lwl)^DI$3*DI$7)</f>
        <v>#DIV/0!</v>
      </c>
      <c r="DJ76" s="136">
        <f>IF(SeilBeregnet=0,DJ75,(0.1*Loa/Depl^0.3333)^DJ$3*DJ$7)</f>
        <v>0</v>
      </c>
      <c r="DK76" s="136">
        <f>IF(SeilBeregnet=0,DK75,((Loa)/Bredde)^DK$3*DK$7)</f>
        <v>2.2683983486066031</v>
      </c>
      <c r="DL76" s="110">
        <f>IF(SeilBeregnet=0,DL75,(Lwl)^DL$3)</f>
        <v>0</v>
      </c>
      <c r="DM76" s="136">
        <f>IF(SeilBeregnet=0,DM75,(Dypg/Loa)^DM$3*5*DM$7)</f>
        <v>0</v>
      </c>
      <c r="DO76" s="110" t="e">
        <f t="shared" si="669"/>
        <v>#DIV/0!</v>
      </c>
      <c r="DP76" s="110" t="e">
        <f t="shared" si="670"/>
        <v>#DIV/0!</v>
      </c>
      <c r="DR76" s="110" t="e">
        <f t="shared" si="671"/>
        <v>#DIV/0!</v>
      </c>
      <c r="DS76" s="125" t="str">
        <f t="shared" si="672"/>
        <v>-</v>
      </c>
      <c r="DT76" s="110">
        <f t="shared" si="673"/>
        <v>0.2256004823831636</v>
      </c>
      <c r="DU76" s="125" t="str">
        <f t="shared" si="674"/>
        <v>-</v>
      </c>
      <c r="DV76" s="110">
        <f>IF(SeilBeregnet=0,DV75,SeilBeregnet^0.5/Depl^0.33333)</f>
        <v>4.2785589383547231</v>
      </c>
      <c r="DW76" s="110">
        <f>IF(SeilBeregnet=0,DW75,Lwl^0.3333)</f>
        <v>0</v>
      </c>
      <c r="DX76" s="110">
        <f>IF(SeilBeregnet=0,DX75,((Loa+Lwl)/Bredde)^DX$3)</f>
        <v>1.506120296857659</v>
      </c>
      <c r="DZ76" s="110">
        <f t="shared" si="675"/>
        <v>0.29213874898939463</v>
      </c>
      <c r="EB76" s="110">
        <f>IF(SeilBeregnet=0,EB75,SeilBeregnet^0.5/Depl^0.33333)</f>
        <v>4.2785589383547231</v>
      </c>
      <c r="EC76" s="110">
        <f>IF(SeilBeregnet=0,EC75,Lwl^EC$3)</f>
        <v>0</v>
      </c>
      <c r="ED76" s="110">
        <f>IF(SeilBeregnet=0,ED75,((Loa+Lwl)/Bredde)^ED$3)</f>
        <v>1.7263247633719956</v>
      </c>
      <c r="EE76" s="110">
        <f t="shared" si="676"/>
        <v>0</v>
      </c>
      <c r="EG76" s="110">
        <f>IF(SeilBeregnet=0,EG75,(EH76*EI76)^EG$3)</f>
        <v>6.4440244583578057</v>
      </c>
      <c r="EH76" s="110">
        <f>IF(SeilBeregnet=0,EH75,SeilBeregnet^0.5/Depl^0.33333)</f>
        <v>4.2785589383547231</v>
      </c>
      <c r="EI76" s="110">
        <f>IF(SeilBeregnet=0,EI75,((Loa+Lwl)/Bredde)^EI$3)</f>
        <v>1.506120296857659</v>
      </c>
      <c r="EJ76" s="110">
        <f>IF(SeilBeregnet=0,EJ75,Lwl^EJ$3)</f>
        <v>0</v>
      </c>
      <c r="EK76" s="110">
        <f>IF(SeilBeregnet=0,"-",EK$7*(EK$4*EM:EM+EK$6)*EP:EP*PropF+ErfaringsF+Dyp_F)</f>
        <v>0.79282498976176707</v>
      </c>
      <c r="EM76" s="110">
        <f>IF(SeilBeregnet=0,EM75,(EN:EN*EO:EO)^EM$3)</f>
        <v>2.0291291213873111</v>
      </c>
      <c r="EN76" s="110">
        <f>IF(SeilBeregnet=0,EN75,SeilBeregnet^0.5/Depl^0.33333)</f>
        <v>4.2785589383547231</v>
      </c>
      <c r="EO76" s="110">
        <f>IF(SeilBeregnet=0,EO75,((Loa+Lwl)/Bredde/6)^EO$3)</f>
        <v>0.96232517784255012</v>
      </c>
      <c r="EP76" s="110">
        <f>IF(SeilBeregnet=0,EP75,(Lwl*0.7+Loa*0.3)^EP$3)</f>
        <v>1.3353858805651273</v>
      </c>
      <c r="EQ76" s="110">
        <f>IF(SeilBeregnet=0,"-",EQ$7*(ES:ES+EQ$6)*EV:EV*PropF+ErfaringsF+Dyp_F)</f>
        <v>0.7414844787192757</v>
      </c>
      <c r="ES76" s="110">
        <f>(ET:ET*EU:EU)^ES$3</f>
        <v>2.0291648084658633</v>
      </c>
      <c r="ET76" s="110">
        <f>IF(SeilBeregnet=0,ET75,SeilBeregnet^0.5/Depl^0.3333)</f>
        <v>4.2787094370194128</v>
      </c>
      <c r="EU76" s="110">
        <f>IF(SeilBeregnet=0,EU75,((Loa+Lwl)/Bredde/6)^EU$3)</f>
        <v>0.96232517784255012</v>
      </c>
      <c r="EV76" s="110">
        <f>IF(SeilBeregnet=0,EV75,(Lwl*0.7+Loa*0.3)^EV$3)</f>
        <v>1.3353858805651273</v>
      </c>
      <c r="EW76" s="110">
        <f>IF(SeilBeregnet=0,"-",EW$7*(EY:EY+EW$6)*FB:FB*PropF+ErfaringsF+Dyp_F)</f>
        <v>0.76563677854841405</v>
      </c>
      <c r="EX76" s="144" t="str">
        <f t="shared" si="677"/>
        <v>-</v>
      </c>
      <c r="EY76" s="110">
        <f>(EZ:EZ*FA:FA)^EY$3</f>
        <v>3.962383369719404</v>
      </c>
      <c r="EZ76" s="136">
        <f>IF(SeilBeregnet=0,EZ75,(SeilBeregnet^0.5/(Depl^0.3333))^EZ$3)</f>
        <v>4.2787094370194128</v>
      </c>
      <c r="FA76" s="136">
        <f>IF(SeilBeregnet=0,FA75,((Loa+Lwl)/Bredde/6)^FA$3)</f>
        <v>0.92606974790969576</v>
      </c>
      <c r="FB76" s="110">
        <f>IF(SeilBeregnet=0,FB75,(Lwl*0.07+Loa*0.03)^FB$3)</f>
        <v>0.75094266571747503</v>
      </c>
      <c r="FC76" s="110" t="e">
        <f>IF(SeilBeregnet=0,"-",FC$7*(FE:FE+FC$6)*FI:FI*PropF+ErfaringsF+Dyp_F)</f>
        <v>#DIV/0!</v>
      </c>
      <c r="FD76" s="144" t="str">
        <f t="shared" si="678"/>
        <v>-</v>
      </c>
      <c r="FE76" s="110" t="e">
        <f>(FF:FF+FG:FG+FH:FH)^FE$3+FE$7</f>
        <v>#DIV/0!</v>
      </c>
      <c r="FF76" s="136">
        <f>IF(SeilBeregnet=0,FF75,(SeilBeregnet^0.5/(Depl^0.3333))^FF$3)</f>
        <v>4.2787094370194128</v>
      </c>
      <c r="FG76" s="136" t="e">
        <f>IF(SeilBeregnet=0,FG75,(SeilBeregnet^0.5/Lwl*FG$7)^FG$3)</f>
        <v>#DIV/0!</v>
      </c>
      <c r="FH76" s="136">
        <f>IF(SeilBeregnet=0,FH75,((Loa)/Bredde)^FH$3*FH$7)</f>
        <v>2.2683983486066031</v>
      </c>
      <c r="FI76" s="110">
        <f>IF(SeilBeregnet=0,FI75,(Lwl)^FI$3)</f>
        <v>0</v>
      </c>
      <c r="FJ76" s="110">
        <f>IF(SeilBeregnet=0,"-",FJ$7*(FL:FL+FJ$6)*FO:FO*PropF+ErfaringsF+Dyp_F)</f>
        <v>0</v>
      </c>
      <c r="FK76" s="144" t="str">
        <f t="shared" si="679"/>
        <v>-</v>
      </c>
      <c r="FL76" s="110">
        <f>(FM:FM*FN:FN)^FL$3</f>
        <v>9.7058174211023243</v>
      </c>
      <c r="FM76" s="136">
        <f>IF(SeilBeregnet=0,FM75,(SeilBeregnet^0.5/(Depl^0.3333))^FM$3)</f>
        <v>4.2787094370194128</v>
      </c>
      <c r="FN76" s="136">
        <f>IF(SeilBeregnet=0,FN75,(Loa/Bredde)^FN$3)</f>
        <v>2.2683983486066031</v>
      </c>
      <c r="FO76" s="110">
        <f>IF(SeilBeregnet=0,FO75,Lwl^FO$3)</f>
        <v>0</v>
      </c>
      <c r="FQ76" s="374">
        <v>1</v>
      </c>
      <c r="FR76" s="64">
        <f>IF(SeilBeregnet=0,"-",0.06*2.43^(1/2)*(SeilBeregnet^(1/2)/Depl^(1/3)+(Loa/Bredde)^(1/2)+5*(Dypg/Loa)^(1/2))*Lwl^(1/4)*FQ76)</f>
        <v>0</v>
      </c>
      <c r="FS76" s="479"/>
      <c r="FT76" s="18"/>
      <c r="FU76" s="481"/>
      <c r="FV76" s="504"/>
      <c r="FW76" s="18"/>
      <c r="FX76" s="18"/>
      <c r="FY76" s="18"/>
      <c r="FZ76" s="18"/>
      <c r="GB76" s="18"/>
      <c r="GC76" s="481"/>
      <c r="GD76" s="8"/>
      <c r="GE76" s="8"/>
      <c r="GF76" s="8"/>
      <c r="GG76" s="8"/>
      <c r="GI76" s="18"/>
      <c r="GJ76" s="18"/>
      <c r="GK76" s="18"/>
      <c r="GL76" s="18"/>
      <c r="GM76" s="18"/>
      <c r="GN76" s="18"/>
      <c r="GO76" s="18"/>
      <c r="GP76" s="18"/>
    </row>
    <row r="77" spans="1:198" ht="15.6" x14ac:dyDescent="0.3">
      <c r="A77" s="54" t="s">
        <v>642</v>
      </c>
      <c r="B77" s="223">
        <f t="shared" si="199"/>
        <v>25.065616797900262</v>
      </c>
      <c r="C77" s="55" t="s">
        <v>41</v>
      </c>
      <c r="D77" s="55"/>
      <c r="E77" s="55"/>
      <c r="F77" s="55"/>
      <c r="G77" s="56"/>
      <c r="H77" s="209"/>
      <c r="I77" s="126" t="str">
        <f>A77</f>
        <v>FAIR PLAY</v>
      </c>
      <c r="J77" s="229"/>
      <c r="K77" s="119"/>
      <c r="L77" s="119"/>
      <c r="M77" s="95"/>
      <c r="N77" s="265"/>
      <c r="O77" s="169"/>
      <c r="P77" s="169"/>
      <c r="Q77" s="169"/>
      <c r="R77" s="169"/>
      <c r="S77" s="169"/>
      <c r="T77" s="169">
        <v>7</v>
      </c>
      <c r="U77" s="169"/>
      <c r="V77" s="169"/>
      <c r="W77" s="169"/>
      <c r="X77" s="169"/>
      <c r="Y77" s="169"/>
      <c r="Z77" s="169"/>
      <c r="AA77" s="169"/>
      <c r="AB77" s="169">
        <v>17</v>
      </c>
      <c r="AC77" s="169"/>
      <c r="AD77" s="169"/>
      <c r="AE77" s="270">
        <v>9.02</v>
      </c>
      <c r="AF77" s="296"/>
      <c r="AG77" s="377"/>
      <c r="AH77" s="296"/>
      <c r="AI77" s="377"/>
      <c r="AJ77" s="296" t="s">
        <v>248</v>
      </c>
      <c r="AK77" s="47">
        <f>VLOOKUP(AJ77,Skrogform!$1:$1048576,3,FALSE)</f>
        <v>0.99</v>
      </c>
      <c r="AL77" s="57">
        <v>7.64</v>
      </c>
      <c r="AM77" s="57">
        <v>6</v>
      </c>
      <c r="AN77" s="57">
        <v>2.2000000000000002</v>
      </c>
      <c r="AO77" s="57">
        <v>1.2</v>
      </c>
      <c r="AP77" s="57">
        <v>1.93</v>
      </c>
      <c r="AQ77" s="57">
        <v>1.0249999999999999</v>
      </c>
      <c r="AR77" s="57"/>
      <c r="AS77" s="281"/>
      <c r="AT77" s="281">
        <v>40</v>
      </c>
      <c r="AU77" s="281">
        <f>ROUND(Depl*10,-2)</f>
        <v>0</v>
      </c>
      <c r="AV77" s="281">
        <f>ROUND(Depl*10,-2)</f>
        <v>0</v>
      </c>
      <c r="AW77" s="270">
        <f>Depl+Diesel/1000+Vann/1000</f>
        <v>1.93</v>
      </c>
      <c r="AX77" s="281"/>
      <c r="AY77" s="98">
        <f>Bredde/(Loa+Lwl)*2</f>
        <v>0.32258064516129031</v>
      </c>
      <c r="AZ77" s="98">
        <f>(Kjøl+Ballast)/Depl</f>
        <v>0.5310880829015544</v>
      </c>
      <c r="BA77" s="288">
        <f>BA$7*((Depl-Kjøl-Ballast-VektMotor/1000-VektAnnet/1000)/Loa/Lwl/Bredde)</f>
        <v>0.37112048826481658</v>
      </c>
      <c r="BB77" s="98">
        <f>BB$7*(Depl/Loa/Lwl/Lwl)</f>
        <v>0.52692597655554363</v>
      </c>
      <c r="BC77" s="178">
        <f>BC$7*(Depl/Loa/Lwl/Bredde)</f>
        <v>0.53119073370066727</v>
      </c>
      <c r="BD77" s="98">
        <f>BD$7*Bredde/(Loa+Lwl)*2</f>
        <v>0.92022199098161639</v>
      </c>
      <c r="BE77" s="98">
        <f>BE$7*(Dypg/Lwl)</f>
        <v>1.0939130434782607</v>
      </c>
      <c r="BF77" s="58"/>
      <c r="BG77" s="296"/>
      <c r="BH77" s="296"/>
      <c r="BI77" s="47">
        <f t="shared" si="663"/>
        <v>1</v>
      </c>
      <c r="BJ77" s="61">
        <v>0</v>
      </c>
      <c r="BK77" s="61"/>
      <c r="BM77" s="214"/>
      <c r="BN77" s="214" t="str">
        <f>$A77</f>
        <v>FAIR PLAY</v>
      </c>
      <c r="BO77" s="10"/>
      <c r="BP77" s="10"/>
      <c r="BQ77" s="10"/>
      <c r="BR77" s="10"/>
      <c r="BS77" s="52"/>
      <c r="BT77" s="214" t="str">
        <f>$A77</f>
        <v>FAIR PLAY</v>
      </c>
      <c r="BU77" s="10"/>
      <c r="BV77" s="10"/>
      <c r="BW77" s="10"/>
      <c r="BX77" s="10"/>
      <c r="BY77" s="10"/>
      <c r="BZ77" s="10"/>
      <c r="CA77" s="10"/>
      <c r="CB77" s="10"/>
      <c r="CC77" s="10"/>
      <c r="CD77" s="214"/>
      <c r="CE77" s="10"/>
      <c r="CF77" s="214" t="str">
        <f>$A77</f>
        <v>FAIR PLAY</v>
      </c>
      <c r="CG77" s="212"/>
      <c r="CH77" s="212"/>
      <c r="CI77" s="119"/>
      <c r="CJ77" s="212"/>
      <c r="CK77" s="208"/>
      <c r="CL77" s="208" t="s">
        <v>26</v>
      </c>
      <c r="CM77" s="110" t="str">
        <f t="shared" si="690"/>
        <v>-</v>
      </c>
      <c r="CN77" s="64" t="str">
        <f>IF(SeilBeregnet=0,"-",(SeilBeregnet)^(1/2)*StHfaktor/(Depl+DeplTillegg/1000+Vann/1000+Diesel/1000*0.84)^(1/3))</f>
        <v>-</v>
      </c>
      <c r="CO77" s="64" t="str">
        <f t="shared" si="659"/>
        <v>-</v>
      </c>
      <c r="CP77" s="64" t="str">
        <f t="shared" si="660"/>
        <v>-</v>
      </c>
      <c r="CQ77" s="110" t="str">
        <f t="shared" si="661"/>
        <v>-</v>
      </c>
      <c r="CR77" s="172" t="str">
        <f t="shared" si="691"/>
        <v>-</v>
      </c>
      <c r="CS77" s="162"/>
      <c r="CT77" s="172" t="str">
        <f t="shared" si="692"/>
        <v>-</v>
      </c>
      <c r="CU77" s="164">
        <v>1.17</v>
      </c>
      <c r="CV77" s="195" t="s">
        <v>145</v>
      </c>
      <c r="CW77" s="30" t="s">
        <v>26</v>
      </c>
      <c r="CX77" s="30" t="s">
        <v>26</v>
      </c>
      <c r="CY77" s="30" t="s">
        <v>26</v>
      </c>
      <c r="CZ77" s="153">
        <v>2022</v>
      </c>
      <c r="DA77" s="64" t="str">
        <f t="shared" si="664"/>
        <v>-</v>
      </c>
      <c r="DB77" s="49">
        <f t="shared" si="665"/>
        <v>13.043478260869565</v>
      </c>
      <c r="DC77" s="50">
        <f t="shared" si="666"/>
        <v>0</v>
      </c>
      <c r="DE77" s="110" t="str">
        <f>IF(SeilBeregnet=0,"-",DE$7*(DG:DG+DE$6)*DL:DL*PropF+ErfaringsF+Dyp_F)</f>
        <v>-</v>
      </c>
      <c r="DF77" s="144" t="str">
        <f t="shared" ref="DF77:DF86" si="732">IF($DQ77=0,"-",(DE77-$DO77)*100)</f>
        <v>-</v>
      </c>
      <c r="DG77" s="110" t="e">
        <f t="shared" si="668"/>
        <v>#REF!</v>
      </c>
      <c r="DH77" s="136" t="e">
        <f>IF(SeilBeregnet=0,#REF!,(SeilBeregnet^0.5/(Depl^0.3333))^DH$3*DH$7)</f>
        <v>#REF!</v>
      </c>
      <c r="DI77" s="136" t="e">
        <f>IF(SeilBeregnet=0,#REF!,(SeilBeregnet^0.5/Lwl)^DI$3*DI$7)</f>
        <v>#REF!</v>
      </c>
      <c r="DJ77" s="136" t="e">
        <f>IF(SeilBeregnet=0,#REF!,(0.1*Loa/Depl^0.3333)^DJ$3*DJ$7)</f>
        <v>#REF!</v>
      </c>
      <c r="DK77" s="136" t="e">
        <f>IF(SeilBeregnet=0,#REF!,((Loa)/Bredde)^DK$3*DK$7)</f>
        <v>#REF!</v>
      </c>
      <c r="DL77" s="110" t="e">
        <f>IF(SeilBeregnet=0,#REF!,(Lwl)^DL$3)</f>
        <v>#REF!</v>
      </c>
      <c r="DM77" s="136" t="e">
        <f>IF(SeilBeregnet=0,#REF!,(Dypg/Loa)^DM$3*5*DM$7)</f>
        <v>#REF!</v>
      </c>
      <c r="DO77" s="110" t="str">
        <f t="shared" ref="DO77:DO271" si="733">IF(SeilBeregnet=0,"-",Skaleringsfaktor*(1*(LBf+SaDeplf)*Lf*PropF+Strikkf2)+ErfaringsF+Dyp_F)</f>
        <v>-</v>
      </c>
      <c r="DP77" s="110" t="str">
        <f t="shared" si="670"/>
        <v>-</v>
      </c>
      <c r="DR77" s="110" t="str">
        <f t="shared" si="671"/>
        <v>-</v>
      </c>
      <c r="DS77" s="125" t="str">
        <f t="shared" ref="DS77:DS86" si="734">IF($DQ77=0,"-",DR77-$DO77)</f>
        <v>-</v>
      </c>
      <c r="DT77" s="110" t="str">
        <f t="shared" si="673"/>
        <v>-</v>
      </c>
      <c r="DU77" s="125" t="str">
        <f t="shared" ref="DU77:DU86" si="735">IF($DQ77=0,"-",DT77-$DO77)</f>
        <v>-</v>
      </c>
      <c r="DV77" s="110" t="e">
        <f>IF(SeilBeregnet=0,#REF!,SeilBeregnet^0.5/Depl^0.33333)</f>
        <v>#REF!</v>
      </c>
      <c r="DW77" s="110" t="e">
        <f>IF(SeilBeregnet=0,#REF!,Lwl^0.3333)</f>
        <v>#REF!</v>
      </c>
      <c r="DX77" s="110" t="e">
        <f>IF(SeilBeregnet=0,#REF!,((Loa+Lwl)/Bredde)^DX$3)</f>
        <v>#REF!</v>
      </c>
      <c r="DZ77" s="110" t="str">
        <f t="shared" si="675"/>
        <v>-</v>
      </c>
      <c r="EB77" s="110" t="e">
        <f>IF(SeilBeregnet=0,#REF!,SeilBeregnet^0.5/Depl^0.33333)</f>
        <v>#REF!</v>
      </c>
      <c r="EC77" s="110" t="e">
        <f>IF(SeilBeregnet=0,#REF!,Lwl^EC$3)</f>
        <v>#REF!</v>
      </c>
      <c r="ED77" s="110" t="e">
        <f>IF(SeilBeregnet=0,#REF!,((Loa+Lwl)/Bredde)^ED$3)</f>
        <v>#REF!</v>
      </c>
      <c r="EE77" s="110" t="str">
        <f t="shared" si="676"/>
        <v>-</v>
      </c>
      <c r="EG77" s="110" t="e">
        <f>IF(SeilBeregnet=0,#REF!,(EH77*EI77)^EG$3)</f>
        <v>#REF!</v>
      </c>
      <c r="EH77" s="110" t="e">
        <f>IF(SeilBeregnet=0,#REF!,SeilBeregnet^0.5/Depl^0.33333)</f>
        <v>#REF!</v>
      </c>
      <c r="EI77" s="110" t="e">
        <f>IF(SeilBeregnet=0,#REF!,((Loa+Lwl)/Bredde)^EI$3)</f>
        <v>#REF!</v>
      </c>
      <c r="EJ77" s="110" t="e">
        <f>IF(SeilBeregnet=0,#REF!,Lwl^EJ$3)</f>
        <v>#REF!</v>
      </c>
      <c r="EK77" s="110" t="str">
        <f>IF(SeilBeregnet=0,"-",EK$7*(EK$4*EM:EM+EK$6)*EP:EP*PropF+ErfaringsF+Dyp_F)</f>
        <v>-</v>
      </c>
      <c r="EM77" s="110" t="e">
        <f>IF(SeilBeregnet=0,#REF!,(EN:EN*EO:EO)^EM$3)</f>
        <v>#REF!</v>
      </c>
      <c r="EN77" s="110" t="e">
        <f>IF(SeilBeregnet=0,#REF!,SeilBeregnet^0.5/Depl^0.33333)</f>
        <v>#REF!</v>
      </c>
      <c r="EO77" s="110" t="e">
        <f>IF(SeilBeregnet=0,#REF!,((Loa+Lwl)/Bredde/6)^EO$3)</f>
        <v>#REF!</v>
      </c>
      <c r="EP77" s="110" t="e">
        <f>IF(SeilBeregnet=0,#REF!,(Lwl*0.7+Loa*0.3)^EP$3)</f>
        <v>#REF!</v>
      </c>
      <c r="EQ77" s="110" t="str">
        <f>IF(SeilBeregnet=0,"-",EQ$7*(ES:ES+EQ$6)*EV:EV*PropF+ErfaringsF+Dyp_F)</f>
        <v>-</v>
      </c>
      <c r="ES77" s="110" t="e">
        <f>(ET:ET*EU:EU)^ES$3</f>
        <v>#REF!</v>
      </c>
      <c r="ET77" s="110" t="e">
        <f>IF(SeilBeregnet=0,#REF!,SeilBeregnet^0.5/Depl^0.3333)</f>
        <v>#REF!</v>
      </c>
      <c r="EU77" s="110" t="e">
        <f>IF(SeilBeregnet=0,#REF!,((Loa+Lwl)/Bredde/6)^EU$3)</f>
        <v>#REF!</v>
      </c>
      <c r="EV77" s="110" t="e">
        <f>IF(SeilBeregnet=0,#REF!,(Lwl*0.7+Loa*0.3)^EV$3)</f>
        <v>#REF!</v>
      </c>
      <c r="EW77" s="110" t="str">
        <f>IF(SeilBeregnet=0,"-",EW$7*(EY:EY+EW$6)*FB:FB*PropF+ErfaringsF+Dyp_F)</f>
        <v>-</v>
      </c>
      <c r="EX77" s="144" t="str">
        <f t="shared" ref="EX77:EX86" si="736">IF($DQ77=0,"-",(EW77-$DO77)*100)</f>
        <v>-</v>
      </c>
      <c r="EY77" s="110" t="e">
        <f>(EZ:EZ*FA:FA)^EY$3</f>
        <v>#REF!</v>
      </c>
      <c r="EZ77" s="136" t="e">
        <f>IF(SeilBeregnet=0,#REF!,(SeilBeregnet^0.5/(Depl^0.3333))^EZ$3)</f>
        <v>#REF!</v>
      </c>
      <c r="FA77" s="136" t="e">
        <f>IF(SeilBeregnet=0,#REF!,((Loa+Lwl)/Bredde/6)^FA$3)</f>
        <v>#REF!</v>
      </c>
      <c r="FB77" s="110" t="e">
        <f>IF(SeilBeregnet=0,#REF!,(Lwl*0.07+Loa*0.03)^FB$3)</f>
        <v>#REF!</v>
      </c>
      <c r="FC77" s="110" t="str">
        <f>IF(SeilBeregnet=0,"-",FC$7*(FE:FE+FC$6)*FI:FI*PropF+ErfaringsF+Dyp_F)</f>
        <v>-</v>
      </c>
      <c r="FD77" s="144" t="str">
        <f t="shared" ref="FD77:FD86" si="737">IF($DQ77=0,"-",(FC77-$DO77)*100)</f>
        <v>-</v>
      </c>
      <c r="FE77" s="110" t="e">
        <f>(FF:FF+FG:FG+FH:FH)^FE$3+FE$7</f>
        <v>#REF!</v>
      </c>
      <c r="FF77" s="136" t="e">
        <f>IF(SeilBeregnet=0,#REF!,(SeilBeregnet^0.5/(Depl^0.3333))^FF$3)</f>
        <v>#REF!</v>
      </c>
      <c r="FG77" s="136" t="e">
        <f>IF(SeilBeregnet=0,#REF!,(SeilBeregnet^0.5/Lwl*FG$7)^FG$3)</f>
        <v>#REF!</v>
      </c>
      <c r="FH77" s="136" t="e">
        <f>IF(SeilBeregnet=0,#REF!,((Loa)/Bredde)^FH$3*FH$7)</f>
        <v>#REF!</v>
      </c>
      <c r="FI77" s="110" t="e">
        <f>IF(SeilBeregnet=0,#REF!,(Lwl)^FI$3)</f>
        <v>#REF!</v>
      </c>
      <c r="FJ77" s="110" t="str">
        <f>IF(SeilBeregnet=0,"-",FJ$7*(FL:FL+FJ$6)*FO:FO*PropF+ErfaringsF+Dyp_F)</f>
        <v>-</v>
      </c>
      <c r="FK77" s="144" t="str">
        <f t="shared" ref="FK77:FK86" si="738">IF($DQ77=0,"-",(FJ77-$DO77)*100)</f>
        <v>-</v>
      </c>
      <c r="FL77" s="110" t="e">
        <f>(FM:FM*FN:FN)^FL$3</f>
        <v>#REF!</v>
      </c>
      <c r="FM77" s="136" t="e">
        <f>IF(SeilBeregnet=0,#REF!,(SeilBeregnet^0.5/(Depl^0.3333))^FM$3)</f>
        <v>#REF!</v>
      </c>
      <c r="FN77" s="136" t="e">
        <f>IF(SeilBeregnet=0,#REF!,(Loa/Bredde)^FN$3)</f>
        <v>#REF!</v>
      </c>
      <c r="FO77" s="110" t="e">
        <f>IF(SeilBeregnet=0,#REF!,Lwl^FO$3)</f>
        <v>#REF!</v>
      </c>
      <c r="FP77" s="569">
        <v>1.19</v>
      </c>
      <c r="FQ77" s="374">
        <v>1</v>
      </c>
      <c r="FR77" s="64" t="str">
        <f t="shared" ref="FR77:FR86" si="739">IF(SeilBeregnet=0,"-",0.06*2.43^(1/2)*(SeilBeregnet^(1/2)/Depl^(1/3)+(Loa/Bredde)^(1/2)+5*(Dypg/Loa)^(1/2))*Lwl^(1/4)*FQ77)</f>
        <v>-</v>
      </c>
      <c r="FS77" s="480" t="s">
        <v>500</v>
      </c>
      <c r="FT77" s="59" t="s">
        <v>523</v>
      </c>
      <c r="FU77" s="475" t="s">
        <v>525</v>
      </c>
      <c r="FV77" s="506" t="s">
        <v>527</v>
      </c>
      <c r="FW77" s="59" t="s">
        <v>528</v>
      </c>
      <c r="FX77" s="59" t="s">
        <v>529</v>
      </c>
      <c r="FY77" s="59" t="s">
        <v>464</v>
      </c>
      <c r="FZ77" s="59" t="s">
        <v>530</v>
      </c>
      <c r="GB77" s="59" t="s">
        <v>522</v>
      </c>
      <c r="GC77" s="475" t="s">
        <v>522</v>
      </c>
      <c r="GD77" s="60" t="s">
        <v>522</v>
      </c>
      <c r="GE77" s="60" t="s">
        <v>522</v>
      </c>
      <c r="GF77" s="60" t="s">
        <v>522</v>
      </c>
      <c r="GG77" s="60" t="s">
        <v>522</v>
      </c>
      <c r="GI77" s="59" t="s">
        <v>600</v>
      </c>
      <c r="GJ77" s="59" t="s">
        <v>533</v>
      </c>
      <c r="GK77" s="59"/>
      <c r="GL77" s="59" t="s">
        <v>534</v>
      </c>
      <c r="GM77" s="59">
        <v>1955</v>
      </c>
      <c r="GN77" s="59" t="s">
        <v>470</v>
      </c>
      <c r="GO77" s="59" t="s">
        <v>535</v>
      </c>
      <c r="GP77" s="59" t="s">
        <v>522</v>
      </c>
    </row>
    <row r="78" spans="1:198" ht="15.6" x14ac:dyDescent="0.3">
      <c r="A78" s="62" t="s">
        <v>36</v>
      </c>
      <c r="B78" s="223"/>
      <c r="C78" s="63" t="str">
        <f>C77</f>
        <v>Bermuda</v>
      </c>
      <c r="D78" s="63"/>
      <c r="E78" s="63"/>
      <c r="F78" s="63"/>
      <c r="G78" s="56"/>
      <c r="H78" s="209">
        <f>TBFavrundet</f>
        <v>95</v>
      </c>
      <c r="I78" s="65">
        <f>COUNTA(O78:AD78)</f>
        <v>2</v>
      </c>
      <c r="J78" s="228">
        <f>SUM(O78:AD78)</f>
        <v>24</v>
      </c>
      <c r="K78" s="119">
        <f>Seilareal/Depl^0.667/K$7</f>
        <v>1.4152979498346083</v>
      </c>
      <c r="L78" s="119">
        <f>Seilareal/Lwl/Lwl/L$7</f>
        <v>1.0115461808884627</v>
      </c>
      <c r="M78" s="95">
        <f>RiggF</f>
        <v>1</v>
      </c>
      <c r="N78" s="265">
        <f>StHfaktor</f>
        <v>1.0522814411075829</v>
      </c>
      <c r="O78" s="147"/>
      <c r="P78" s="147"/>
      <c r="Q78" s="147"/>
      <c r="R78" s="147"/>
      <c r="S78" s="147"/>
      <c r="T78" s="169">
        <v>7</v>
      </c>
      <c r="U78" s="148"/>
      <c r="V78" s="148"/>
      <c r="W78" s="148"/>
      <c r="X78" s="148"/>
      <c r="Y78" s="147"/>
      <c r="Z78" s="147"/>
      <c r="AA78" s="147"/>
      <c r="AB78" s="169">
        <v>17</v>
      </c>
      <c r="AC78" s="147"/>
      <c r="AD78" s="148"/>
      <c r="AE78" s="260">
        <f>AE77</f>
        <v>9.02</v>
      </c>
      <c r="AF78" s="375">
        <f t="shared" ref="AF78:AH78" si="740" xml:space="preserve"> AF77</f>
        <v>0</v>
      </c>
      <c r="AG78" s="377"/>
      <c r="AH78" s="375">
        <f t="shared" si="740"/>
        <v>0</v>
      </c>
      <c r="AI78" s="377"/>
      <c r="AJ78" s="295" t="str">
        <f xml:space="preserve"> AJ77</f>
        <v>Folk</v>
      </c>
      <c r="AK78" s="47">
        <f>VLOOKUP(AJ78,Skrogform!$1:$1048576,3,FALSE)</f>
        <v>0.99</v>
      </c>
      <c r="AL78" s="66">
        <f t="shared" ref="AL78:AT78" si="741">AL77</f>
        <v>7.64</v>
      </c>
      <c r="AM78" s="66">
        <f t="shared" si="741"/>
        <v>6</v>
      </c>
      <c r="AN78" s="66">
        <f t="shared" si="741"/>
        <v>2.2000000000000002</v>
      </c>
      <c r="AO78" s="66">
        <f t="shared" si="741"/>
        <v>1.2</v>
      </c>
      <c r="AP78" s="66">
        <f t="shared" si="741"/>
        <v>1.93</v>
      </c>
      <c r="AQ78" s="66">
        <f t="shared" si="741"/>
        <v>1.0249999999999999</v>
      </c>
      <c r="AR78" s="66">
        <f t="shared" si="741"/>
        <v>0</v>
      </c>
      <c r="AS78" s="284">
        <f t="shared" si="741"/>
        <v>0</v>
      </c>
      <c r="AT78" s="284">
        <f t="shared" si="741"/>
        <v>40</v>
      </c>
      <c r="AU78" s="284">
        <f t="shared" ref="AU78:AV78" si="742">AU77</f>
        <v>0</v>
      </c>
      <c r="AV78" s="284">
        <f t="shared" si="742"/>
        <v>0</v>
      </c>
      <c r="AW78" s="284"/>
      <c r="AX78" s="284">
        <f>AX77</f>
        <v>0</v>
      </c>
      <c r="AY78" s="68"/>
      <c r="AZ78" s="68"/>
      <c r="BA78" s="289"/>
      <c r="BB78" s="68"/>
      <c r="BC78" s="179"/>
      <c r="BD78" s="68"/>
      <c r="BE78" s="68"/>
      <c r="BF78" s="67">
        <f t="shared" ref="BF78:BH78" si="743" xml:space="preserve"> BF77</f>
        <v>0</v>
      </c>
      <c r="BG78" s="295">
        <f t="shared" si="743"/>
        <v>0</v>
      </c>
      <c r="BH78" s="295">
        <f t="shared" si="743"/>
        <v>0</v>
      </c>
      <c r="BI78" s="47">
        <f t="shared" si="663"/>
        <v>1</v>
      </c>
      <c r="BJ78" s="61">
        <f>BJ77</f>
        <v>0</v>
      </c>
      <c r="BK78" s="61"/>
      <c r="BM78" s="51">
        <f t="shared" ref="BM78:BR78" si="744">IF(O78=0,0,O78*BM$9)</f>
        <v>0</v>
      </c>
      <c r="BN78" s="51">
        <f t="shared" si="744"/>
        <v>0</v>
      </c>
      <c r="BO78" s="51">
        <f t="shared" si="744"/>
        <v>0</v>
      </c>
      <c r="BP78" s="51">
        <f t="shared" si="744"/>
        <v>0</v>
      </c>
      <c r="BQ78" s="51">
        <f t="shared" si="744"/>
        <v>0</v>
      </c>
      <c r="BR78" s="51">
        <f t="shared" si="744"/>
        <v>7</v>
      </c>
      <c r="BS78" s="52">
        <f>IF(COUNT(P78:T78)&gt;1,MINA(P78:T78)*BS$9,0)</f>
        <v>0</v>
      </c>
      <c r="BT78" s="88">
        <f t="shared" ref="BT78:CC78" si="745">IF(U78=0,0,U78*BT$9)</f>
        <v>0</v>
      </c>
      <c r="BU78" s="88">
        <f t="shared" si="745"/>
        <v>0</v>
      </c>
      <c r="BV78" s="88">
        <f t="shared" si="745"/>
        <v>0</v>
      </c>
      <c r="BW78" s="88">
        <f t="shared" si="745"/>
        <v>0</v>
      </c>
      <c r="BX78" s="88">
        <f t="shared" si="745"/>
        <v>0</v>
      </c>
      <c r="BY78" s="88">
        <f t="shared" si="745"/>
        <v>0</v>
      </c>
      <c r="BZ78" s="88">
        <f t="shared" si="745"/>
        <v>0</v>
      </c>
      <c r="CA78" s="88">
        <f t="shared" si="745"/>
        <v>17</v>
      </c>
      <c r="CB78" s="88">
        <f t="shared" si="745"/>
        <v>0</v>
      </c>
      <c r="CC78" s="88">
        <f t="shared" si="745"/>
        <v>0</v>
      </c>
      <c r="CD78" s="103">
        <f>SUM(BM78:CC78)</f>
        <v>24</v>
      </c>
      <c r="CE78" s="52"/>
      <c r="CF78" s="107">
        <f>J78</f>
        <v>24</v>
      </c>
      <c r="CG78" s="104">
        <f>CD78/CF78</f>
        <v>1</v>
      </c>
      <c r="CH78" s="53">
        <f>Seilareal/Lwl/Lwl</f>
        <v>0.66666666666666663</v>
      </c>
      <c r="CI78" s="119">
        <f>Seilareal/Depl^0.667/K$7</f>
        <v>1.4152979498346083</v>
      </c>
      <c r="CJ78" s="53">
        <f>Seilareal/Lwl/Lwl/SApRS1</f>
        <v>1.0115461808884627</v>
      </c>
      <c r="CK78" s="209"/>
      <c r="CL78" s="209">
        <f>(ROUND(TBF/CL$6,3)*CL$6)*CL$4</f>
        <v>95</v>
      </c>
      <c r="CM78" s="110">
        <f t="shared" si="690"/>
        <v>0.95168876851995321</v>
      </c>
      <c r="CN78" s="64">
        <f>IF(SeilBeregnet=0,"-",(SeilBeregnet)^(1/2)*StHfaktor/(Depl+DeplTillegg/1000+Vann/1000+Diesel/1000*0.84)^(1/3))</f>
        <v>4.0066154735481518</v>
      </c>
      <c r="CO78" s="64">
        <f t="shared" si="659"/>
        <v>1.7606816861659009</v>
      </c>
      <c r="CP78" s="64">
        <f t="shared" si="660"/>
        <v>1.5650845800732873</v>
      </c>
      <c r="CQ78" s="110">
        <f t="shared" si="661"/>
        <v>1.0522814411075829</v>
      </c>
      <c r="CR78" s="172" t="str">
        <f t="shared" si="691"/>
        <v>-</v>
      </c>
      <c r="CS78" s="163"/>
      <c r="CT78" s="172">
        <f t="shared" si="692"/>
        <v>0.90315789473684216</v>
      </c>
      <c r="CU78" s="163">
        <f>CU77</f>
        <v>1.17</v>
      </c>
      <c r="CV78" s="195" t="s">
        <v>145</v>
      </c>
      <c r="CW78" s="64">
        <v>0.85</v>
      </c>
      <c r="CX78" s="64">
        <v>0.87</v>
      </c>
      <c r="CY78" s="64">
        <v>0.94</v>
      </c>
      <c r="CZ78" s="156">
        <f>0.94+0.03</f>
        <v>0.97</v>
      </c>
      <c r="DA78" s="64">
        <f t="shared" si="664"/>
        <v>2.1428939822296749</v>
      </c>
      <c r="DB78" s="49">
        <f t="shared" si="665"/>
        <v>13.043478260869565</v>
      </c>
      <c r="DC78" s="50">
        <f t="shared" si="666"/>
        <v>0</v>
      </c>
      <c r="DE78" s="139">
        <f>IF(SeilBeregnet=0,"-",DE$7*(DG:DG+DE$6)*DL:DL*PropF+ErfaringsF+Dyp_F)</f>
        <v>0.91657145793391248</v>
      </c>
      <c r="DF78" s="145">
        <f t="shared" si="732"/>
        <v>-4.4730328449878565</v>
      </c>
      <c r="DG78" s="110">
        <f t="shared" si="668"/>
        <v>5.7983862633250078</v>
      </c>
      <c r="DH78" s="136">
        <f>IF(SeilBeregnet=0,DH77,(SeilBeregnet^0.5/(Depl^0.3333))^DH$3*DH$7)</f>
        <v>3.9348607677314349</v>
      </c>
      <c r="DI78" s="136">
        <f>IF(SeilBeregnet=0,DI77,(SeilBeregnet^0.5/Lwl)^DI$3*DI$7)</f>
        <v>0</v>
      </c>
      <c r="DJ78" s="136">
        <f>IF(SeilBeregnet=0,DJ77,(0.1*Loa/Depl^0.3333)^DJ$3*DJ$7)</f>
        <v>0</v>
      </c>
      <c r="DK78" s="136">
        <f>IF(SeilBeregnet=0,DK77,((Loa)/Bredde)^DK$3*DK$7)</f>
        <v>1.8635254955935732</v>
      </c>
      <c r="DL78" s="110">
        <f>IF(SeilBeregnet=0,DL77,(Lwl)^DL$3)</f>
        <v>1.5650845800732873</v>
      </c>
      <c r="DM78" s="136">
        <f>IF(SeilBeregnet=0,DM77,(Dypg/Loa)^DM$3*5*DM$7)</f>
        <v>1.9815906667827816</v>
      </c>
      <c r="DO78" s="74">
        <f t="shared" si="733"/>
        <v>0.96130178638379105</v>
      </c>
      <c r="DP78" s="110">
        <f t="shared" si="670"/>
        <v>0.85672985273594138</v>
      </c>
      <c r="DQ78" s="125">
        <f>DP78-DO78</f>
        <v>-0.10457193364784967</v>
      </c>
      <c r="DR78" s="110">
        <f t="shared" si="671"/>
        <v>0.86300375442641974</v>
      </c>
      <c r="DS78" s="125">
        <f t="shared" si="734"/>
        <v>-9.8298031957371301E-2</v>
      </c>
      <c r="DT78" s="110">
        <f t="shared" si="673"/>
        <v>0.93259176738532801</v>
      </c>
      <c r="DU78" s="125">
        <f t="shared" si="735"/>
        <v>-2.8710018998463038E-2</v>
      </c>
      <c r="DV78" s="110">
        <f t="shared" ref="DV78" si="746">IF(SeilBeregnet=0,DV77,SeilBeregnet^0.5/Depl^0.33333)</f>
        <v>3.9347831510070512</v>
      </c>
      <c r="DW78" s="110">
        <f t="shared" ref="DW78" si="747">IF(SeilBeregnet=0,DW77,Lwl^0.3333)</f>
        <v>1.8170120679720481</v>
      </c>
      <c r="DX78" s="110">
        <f>IF(SeilBeregnet=0,DX77,((Loa+Lwl)/Bredde)^DX$3)</f>
        <v>1.5779670210741878</v>
      </c>
      <c r="DZ78" s="110">
        <f t="shared" si="675"/>
        <v>0.93164386658105303</v>
      </c>
      <c r="EB78" s="110">
        <f t="shared" ref="EB78" si="748">IF(SeilBeregnet=0,EB77,SeilBeregnet^0.5/Depl^0.33333)</f>
        <v>3.9347831510070512</v>
      </c>
      <c r="EC78" s="110">
        <f>IF(SeilBeregnet=0,EC77,Lwl^EC$3)</f>
        <v>1.8171097400544527</v>
      </c>
      <c r="ED78" s="110">
        <f>IF(SeilBeregnet=0,ED77,((Loa+Lwl)/Bredde)^ED$3)</f>
        <v>1.8369788246696532</v>
      </c>
      <c r="EE78" s="110">
        <f t="shared" si="676"/>
        <v>0.92495173157128607</v>
      </c>
      <c r="EG78" s="110">
        <f>IF(SeilBeregnet=0,EG77,(EH78*EI78)^EG$3)</f>
        <v>6.2089580473675028</v>
      </c>
      <c r="EH78" s="110">
        <f t="shared" ref="EH78" si="749">IF(SeilBeregnet=0,EH77,SeilBeregnet^0.5/Depl^0.33333)</f>
        <v>3.9347831510070512</v>
      </c>
      <c r="EI78" s="110">
        <f>IF(SeilBeregnet=0,EI77,((Loa+Lwl)/Bredde)^EI$3)</f>
        <v>1.5779670210741878</v>
      </c>
      <c r="EJ78" s="110">
        <f>IF(SeilBeregnet=0,EJ77,Lwl^EJ$3)</f>
        <v>1.5650845800732873</v>
      </c>
      <c r="EK78" s="110">
        <f>IF(SeilBeregnet=0,"-",EK$7*(EK$4*EM:EM+EK$6)*EP:EP*PropF+ErfaringsF+Dyp_F)</f>
        <v>0.9245376112190884</v>
      </c>
      <c r="EM78" s="110">
        <f>IF(SeilBeregnet=0,EM77,(EN:EN*EO:EO)^EM$3)</f>
        <v>1.9917758229579621</v>
      </c>
      <c r="EN78" s="110">
        <f t="shared" ref="EN78" si="750">IF(SeilBeregnet=0,EN77,SeilBeregnet^0.5/Depl^0.33333)</f>
        <v>3.9347831510070512</v>
      </c>
      <c r="EO78" s="110">
        <f>IF(SeilBeregnet=0,EO77,((Loa+Lwl)/Bredde/6)^EO$3)</f>
        <v>1.0082311468433849</v>
      </c>
      <c r="EP78" s="110">
        <f>IF(SeilBeregnet=0,EP77,(Lwl*0.7+Loa*0.3)^EP$3)</f>
        <v>1.5962269088918948</v>
      </c>
      <c r="EQ78" s="110">
        <f>IF(SeilBeregnet=0,"-",EQ$7*(ES:ES+EQ$6)*EV:EV*PropF+ErfaringsF+Dyp_F)</f>
        <v>0.86999614905036671</v>
      </c>
      <c r="ES78" s="110">
        <f>(ET:ET*EU:EU)^ES$3</f>
        <v>1.991795467541511</v>
      </c>
      <c r="ET78" s="110">
        <f t="shared" ref="ET78" si="751">IF(SeilBeregnet=0,ET77,SeilBeregnet^0.5/Depl^0.3333)</f>
        <v>3.9348607677314349</v>
      </c>
      <c r="EU78" s="110">
        <f>IF(SeilBeregnet=0,EU77,((Loa+Lwl)/Bredde/6)^EU$3)</f>
        <v>1.0082311468433849</v>
      </c>
      <c r="EV78" s="110">
        <f>IF(SeilBeregnet=0,EV77,(Lwl*0.7+Loa*0.3)^EV$3)</f>
        <v>1.5962269088918948</v>
      </c>
      <c r="EW78" s="110">
        <f>IF(SeilBeregnet=0,"-",EW$7*(EY:EY+EW$6)*FB:FB*PropF+ErfaringsF+Dyp_F)</f>
        <v>0.92094788303572073</v>
      </c>
      <c r="EX78" s="144">
        <f t="shared" si="736"/>
        <v>-4.0353903348070315</v>
      </c>
      <c r="EY78" s="110">
        <f>(EZ:EZ*FA:FA)^EY$3</f>
        <v>3.9999041951209806</v>
      </c>
      <c r="EZ78" s="136">
        <f>IF(SeilBeregnet=0,EZ77,(SeilBeregnet^0.5/(Depl^0.3333))^EZ$3)</f>
        <v>3.9348607677314349</v>
      </c>
      <c r="FA78" s="136">
        <f>IF(SeilBeregnet=0,FA77,((Loa+Lwl)/Bredde/6)^FA$3)</f>
        <v>1.0165300454651272</v>
      </c>
      <c r="FB78" s="110">
        <f>IF(SeilBeregnet=0,FB77,(Lwl*0.07+Loa*0.03)^FB$3)</f>
        <v>0.89762435525076267</v>
      </c>
      <c r="FC78" s="110">
        <f>IF(SeilBeregnet=0,"-",FC$7*(FE:FE+FC$6)*FI:FI*PropF+ErfaringsF+Dyp_F)</f>
        <v>0.91874964945548543</v>
      </c>
      <c r="FD78" s="144">
        <f t="shared" si="737"/>
        <v>-4.2552136928305622</v>
      </c>
      <c r="FE78" s="110">
        <f>(FF:FF+FG:FG+FH:FH)^FE$3+FE$7</f>
        <v>6.1148828442527341</v>
      </c>
      <c r="FF78" s="136">
        <f>IF(SeilBeregnet=0,FF77,(SeilBeregnet^0.5/(Depl^0.3333))^FF$3)</f>
        <v>3.9348607677314349</v>
      </c>
      <c r="FG78" s="136">
        <f>IF(SeilBeregnet=0,FG77,(SeilBeregnet^0.5/Lwl*FG$7)^FG$3)</f>
        <v>0.81649658092772592</v>
      </c>
      <c r="FH78" s="136">
        <f>IF(SeilBeregnet=0,FH77,((Loa)/Bredde)^FH$3*FH$7)</f>
        <v>1.8635254955935732</v>
      </c>
      <c r="FI78" s="110">
        <f>IF(SeilBeregnet=0,FI77,(Lwl)^FI$3)</f>
        <v>1.5650845800732873</v>
      </c>
      <c r="FJ78" s="110">
        <f>IF(SeilBeregnet=0,"-",FJ$7*(FL:FL+FJ$6)*FO:FO*PropF+ErfaringsF+Dyp_F)</f>
        <v>0.92230605655200826</v>
      </c>
      <c r="FK78" s="144">
        <f t="shared" si="738"/>
        <v>-3.8995729831782788</v>
      </c>
      <c r="FL78" s="110">
        <f>(FM:FM*FN:FN)^FL$3</f>
        <v>7.3327133622784304</v>
      </c>
      <c r="FM78" s="136">
        <f>IF(SeilBeregnet=0,FM77,(SeilBeregnet^0.5/(Depl^0.3333))^FM$3)</f>
        <v>3.9348607677314349</v>
      </c>
      <c r="FN78" s="136">
        <f>IF(SeilBeregnet=0,FN77,(Loa/Bredde)^FN$3)</f>
        <v>1.8635254955935732</v>
      </c>
      <c r="FO78" s="110">
        <f>IF(SeilBeregnet=0,FO77,Lwl^FO$3)</f>
        <v>1.5650845800732873</v>
      </c>
      <c r="FQ78" s="374">
        <v>1</v>
      </c>
      <c r="FR78" s="64">
        <f t="shared" si="739"/>
        <v>1.1388478199984249</v>
      </c>
      <c r="FS78" s="479"/>
      <c r="FT78" s="18"/>
      <c r="FU78" s="481"/>
      <c r="FV78" s="504"/>
      <c r="FW78" s="18"/>
      <c r="FX78" s="18"/>
      <c r="FY78" s="18"/>
      <c r="FZ78" s="18"/>
      <c r="GB78" s="18"/>
      <c r="GC78" s="481"/>
      <c r="GD78" s="8"/>
      <c r="GE78" s="8"/>
      <c r="GF78" s="8"/>
      <c r="GG78" s="8"/>
      <c r="GI78" s="18"/>
      <c r="GJ78" s="18"/>
      <c r="GK78" s="18"/>
      <c r="GL78" s="18"/>
      <c r="GM78" s="18"/>
      <c r="GN78" s="18"/>
      <c r="GO78" s="18"/>
      <c r="GP78" s="18"/>
    </row>
    <row r="79" spans="1:198" ht="15.6" x14ac:dyDescent="0.3">
      <c r="A79" s="54" t="s">
        <v>678</v>
      </c>
      <c r="B79" s="223">
        <f t="shared" si="199"/>
        <v>21.8503937007874</v>
      </c>
      <c r="C79" s="55" t="s">
        <v>679</v>
      </c>
      <c r="D79" s="55"/>
      <c r="E79" s="55"/>
      <c r="F79" s="55"/>
      <c r="G79" s="56"/>
      <c r="H79" s="209"/>
      <c r="I79" s="126" t="str">
        <f>A79</f>
        <v>Jeløen</v>
      </c>
      <c r="J79" s="229"/>
      <c r="K79" s="119"/>
      <c r="L79" s="119"/>
      <c r="M79" s="95"/>
      <c r="N79" s="265"/>
      <c r="O79" s="169"/>
      <c r="P79" s="169"/>
      <c r="Q79" s="169">
        <v>7</v>
      </c>
      <c r="R79" s="169"/>
      <c r="S79" s="169"/>
      <c r="T79" s="169">
        <v>7</v>
      </c>
      <c r="U79" s="169">
        <v>14</v>
      </c>
      <c r="V79" s="169"/>
      <c r="W79" s="169"/>
      <c r="X79" s="169"/>
      <c r="Y79" s="169">
        <v>4.5</v>
      </c>
      <c r="Z79" s="169"/>
      <c r="AA79" s="169"/>
      <c r="AB79" s="169"/>
      <c r="AC79" s="169"/>
      <c r="AD79" s="169"/>
      <c r="AE79" s="270">
        <v>5.9</v>
      </c>
      <c r="AF79" s="296"/>
      <c r="AG79" s="377"/>
      <c r="AH79" s="296"/>
      <c r="AI79" s="377"/>
      <c r="AJ79" s="296" t="s">
        <v>237</v>
      </c>
      <c r="AK79" s="47">
        <f>VLOOKUP(AJ79,Skrogform!$1:$1048576,3,FALSE)</f>
        <v>0.98</v>
      </c>
      <c r="AL79" s="57">
        <v>6.66</v>
      </c>
      <c r="AM79" s="57">
        <v>6</v>
      </c>
      <c r="AN79" s="57">
        <v>1.92</v>
      </c>
      <c r="AO79" s="57">
        <v>1.3</v>
      </c>
      <c r="AP79" s="57">
        <v>2.56</v>
      </c>
      <c r="AQ79" s="57">
        <v>0.9</v>
      </c>
      <c r="AR79" s="57">
        <v>0.26</v>
      </c>
      <c r="AS79" s="281">
        <v>10</v>
      </c>
      <c r="AT79" s="282">
        <f>AS79*7</f>
        <v>70</v>
      </c>
      <c r="AU79" s="281">
        <f>ROUND(Depl*10,-2)</f>
        <v>0</v>
      </c>
      <c r="AV79" s="281">
        <f>ROUND(Depl*10,-2)</f>
        <v>0</v>
      </c>
      <c r="AW79" s="270">
        <f>Depl+Diesel/1000+Vann/1000</f>
        <v>2.56</v>
      </c>
      <c r="AX79" s="281"/>
      <c r="AY79" s="98">
        <f>Bredde/(Loa+Lwl)*2</f>
        <v>0.30331753554502366</v>
      </c>
      <c r="AZ79" s="98">
        <f>(Kjøl+Ballast)/Depl</f>
        <v>0.45312500000000006</v>
      </c>
      <c r="BA79" s="288">
        <f>BA$7*((Depl-Kjøl-Ballast-VektMotor/1000-VektAnnet/1000)/Loa/Lwl/Bredde)</f>
        <v>0.75005143436284916</v>
      </c>
      <c r="BB79" s="98">
        <f>BB$7*(Depl/Loa/Lwl/Lwl)</f>
        <v>0.80177294028722612</v>
      </c>
      <c r="BC79" s="178">
        <f>BC$7*(Depl/Loa/Lwl/Bredde)</f>
        <v>0.9261337868480729</v>
      </c>
      <c r="BD79" s="98">
        <f>BD$7*Bredde/(Loa+Lwl)*2</f>
        <v>0.86527034602252451</v>
      </c>
      <c r="BE79" s="98">
        <f>BE$7*(Dypg/Lwl)</f>
        <v>1.185072463768116</v>
      </c>
      <c r="BF79" s="58" t="s">
        <v>24</v>
      </c>
      <c r="BG79" s="296">
        <v>3</v>
      </c>
      <c r="BH79" s="296">
        <v>33</v>
      </c>
      <c r="BI79" s="47">
        <f>IF((BF79="Fast"),(1.006248-(0.06415*((BH79/100*SQRT(BG79))/POWER(AP79,(1/3))))),1)</f>
        <v>1</v>
      </c>
      <c r="BJ79" s="61"/>
      <c r="BK79" s="61"/>
      <c r="BM79" s="214"/>
      <c r="BN79" s="214" t="str">
        <f>$A79</f>
        <v>Jeløen</v>
      </c>
      <c r="BO79" s="10"/>
      <c r="BP79" s="10"/>
      <c r="BQ79" s="10"/>
      <c r="BR79" s="10"/>
      <c r="BS79" s="52"/>
      <c r="BT79" s="214" t="str">
        <f>$A79</f>
        <v>Jeløen</v>
      </c>
      <c r="BU79" s="10"/>
      <c r="BV79" s="10"/>
      <c r="BW79" s="10"/>
      <c r="BX79" s="10"/>
      <c r="BY79" s="10"/>
      <c r="BZ79" s="10"/>
      <c r="CA79" s="10"/>
      <c r="CB79" s="10"/>
      <c r="CC79" s="10"/>
      <c r="CD79" s="214"/>
      <c r="CE79" s="10"/>
      <c r="CF79" s="214" t="str">
        <f>$A79</f>
        <v>Jeløen</v>
      </c>
      <c r="CG79" s="212"/>
      <c r="CH79" s="212"/>
      <c r="CI79" s="119"/>
      <c r="CJ79" s="212"/>
      <c r="CK79" s="208"/>
      <c r="CL79" s="208" t="s">
        <v>26</v>
      </c>
      <c r="CM79" s="110" t="str">
        <f t="shared" si="234"/>
        <v>-</v>
      </c>
      <c r="CN79" s="64" t="str">
        <f>IF(SeilBeregnet=0,"-",(SeilBeregnet)^(1/2)*StHfaktor/(Depl+DeplTillegg/1000+Vann/1000+Diesel/1000*0.84)^(1/3))</f>
        <v>-</v>
      </c>
      <c r="CO79" s="64" t="str">
        <f t="shared" si="203"/>
        <v>-</v>
      </c>
      <c r="CP79" s="64" t="str">
        <f t="shared" si="204"/>
        <v>-</v>
      </c>
      <c r="CQ79" s="110" t="str">
        <f t="shared" si="205"/>
        <v>-</v>
      </c>
      <c r="CR79" s="172">
        <f>IF(CS79=0,"-",IF(CH79="TBF","-",CR$7*CS79))</f>
        <v>0.81788235294117662</v>
      </c>
      <c r="CS79" s="162">
        <v>0.79</v>
      </c>
      <c r="CT79" s="172" t="str">
        <f>IF(CU79=0,"-",IF(CL79="TBF","-",CT$7*CU79))</f>
        <v>-</v>
      </c>
      <c r="CU79" s="164"/>
      <c r="CV79" s="195" t="s">
        <v>145</v>
      </c>
      <c r="CW79" s="30" t="s">
        <v>26</v>
      </c>
      <c r="CX79" s="30" t="s">
        <v>26</v>
      </c>
      <c r="CY79" s="30" t="s">
        <v>26</v>
      </c>
      <c r="CZ79" s="153">
        <v>2022</v>
      </c>
      <c r="DA79" s="64" t="str">
        <f t="shared" si="392"/>
        <v>-</v>
      </c>
      <c r="DB79" s="49">
        <f t="shared" si="393"/>
        <v>14.573991031390134</v>
      </c>
      <c r="DC79" s="50">
        <f>DB$7*IF(DB79&lt;DB$5,-0.04,IF(DB79&lt;DB$5*1.1,-0.03,IF(DB79&lt;DB$5*1.2,-0.02,IF(DB79&lt;DB$5*1.3,-0.01,0))))</f>
        <v>0</v>
      </c>
      <c r="DE79" s="110" t="str">
        <f>IF(SeilBeregnet=0,"-",DE$7*(DG:DG+DE$6)*DL:DL*PropF+ErfaringsF+Dyp_F)</f>
        <v>-</v>
      </c>
      <c r="DF79" s="144" t="str">
        <f>IF($DQ79=0,"-",(DE79-$DO79)*100)</f>
        <v>-</v>
      </c>
      <c r="DG79" s="110" t="e">
        <f>SUM(DH79:DK79)^DG$3+DG$7</f>
        <v>#REF!</v>
      </c>
      <c r="DH79" s="136" t="e">
        <f>IF(SeilBeregnet=0,#REF!,(SeilBeregnet^0.5/(Depl^0.3333))^DH$3*DH$7)</f>
        <v>#REF!</v>
      </c>
      <c r="DI79" s="136" t="e">
        <f>IF(SeilBeregnet=0,#REF!,(SeilBeregnet^0.5/Lwl)^DI$3*DI$7)</f>
        <v>#REF!</v>
      </c>
      <c r="DJ79" s="136" t="e">
        <f>IF(SeilBeregnet=0,#REF!,(0.1*Loa/Depl^0.3333)^DJ$3*DJ$7)</f>
        <v>#REF!</v>
      </c>
      <c r="DK79" s="136" t="e">
        <f>IF(SeilBeregnet=0,#REF!,((Loa)/Bredde)^DK$3*DK$7)</f>
        <v>#REF!</v>
      </c>
      <c r="DL79" s="110" t="e">
        <f>IF(SeilBeregnet=0,#REF!,(Lwl)^DL$3)</f>
        <v>#REF!</v>
      </c>
      <c r="DM79" s="136" t="e">
        <f>IF(SeilBeregnet=0,#REF!,(Dypg/Loa)^DM$3*5*DM$7)</f>
        <v>#REF!</v>
      </c>
      <c r="DO79" s="110" t="str">
        <f t="shared" si="344"/>
        <v>-</v>
      </c>
      <c r="DP79" s="110" t="str">
        <f t="shared" si="396"/>
        <v>-</v>
      </c>
      <c r="DR79" s="110" t="str">
        <f t="shared" si="397"/>
        <v>-</v>
      </c>
      <c r="DS79" s="125" t="str">
        <f>IF($DQ79=0,"-",DR79-$DO79)</f>
        <v>-</v>
      </c>
      <c r="DT79" s="110" t="str">
        <f>IF(SeilBeregnet=0,"-",DT$7*(DT$4*DV79*DW79*DX79*PropF+DT$6)+ErfaringsF+Dyp_F)</f>
        <v>-</v>
      </c>
      <c r="DU79" s="125" t="str">
        <f>IF($DQ79=0,"-",DT79-$DO79)</f>
        <v>-</v>
      </c>
      <c r="DV79" s="110" t="e">
        <f>IF(SeilBeregnet=0,#REF!,SeilBeregnet^0.5/Depl^0.33333)</f>
        <v>#REF!</v>
      </c>
      <c r="DW79" s="110" t="e">
        <f>IF(SeilBeregnet=0,#REF!,Lwl^0.3333)</f>
        <v>#REF!</v>
      </c>
      <c r="DX79" s="110" t="e">
        <f>IF(SeilBeregnet=0,#REF!,((Loa+Lwl)/Bredde)^DX$3)</f>
        <v>#REF!</v>
      </c>
      <c r="DZ79" s="110" t="str">
        <f>IF(SeilBeregnet=0,"-",DZ$7*(DZ$4*EB79*EC79*ED79*PropF+DZ$6)+ErfaringsF+Dyp_F)</f>
        <v>-</v>
      </c>
      <c r="EB79" s="110" t="e">
        <f>IF(SeilBeregnet=0,#REF!,SeilBeregnet^0.5/Depl^0.33333)</f>
        <v>#REF!</v>
      </c>
      <c r="EC79" s="110" t="e">
        <f>IF(SeilBeregnet=0,#REF!,Lwl^EC$3)</f>
        <v>#REF!</v>
      </c>
      <c r="ED79" s="110" t="e">
        <f>IF(SeilBeregnet=0,#REF!,((Loa+Lwl)/Bredde)^ED$3)</f>
        <v>#REF!</v>
      </c>
      <c r="EE79" s="110" t="str">
        <f>IF(SeilBeregnet=0,"-",EE$7*(EE$4*EG79+EE$6)*EJ79*PropF+ErfaringsF+Dyp_F)</f>
        <v>-</v>
      </c>
      <c r="EG79" s="110" t="e">
        <f>IF(SeilBeregnet=0,#REF!,(EH79*EI79)^EG$3)</f>
        <v>#REF!</v>
      </c>
      <c r="EH79" s="110" t="e">
        <f>IF(SeilBeregnet=0,#REF!,SeilBeregnet^0.5/Depl^0.33333)</f>
        <v>#REF!</v>
      </c>
      <c r="EI79" s="110" t="e">
        <f>IF(SeilBeregnet=0,#REF!,((Loa+Lwl)/Bredde)^EI$3)</f>
        <v>#REF!</v>
      </c>
      <c r="EJ79" s="110" t="e">
        <f>IF(SeilBeregnet=0,#REF!,Lwl^EJ$3)</f>
        <v>#REF!</v>
      </c>
      <c r="EK79" s="110" t="str">
        <f>IF(SeilBeregnet=0,"-",EK$7*(EK$4*EM:EM+EK$6)*EP:EP*PropF+ErfaringsF+Dyp_F)</f>
        <v>-</v>
      </c>
      <c r="EM79" s="110" t="e">
        <f>IF(SeilBeregnet=0,#REF!,(EN:EN*EO:EO)^EM$3)</f>
        <v>#REF!</v>
      </c>
      <c r="EN79" s="110" t="e">
        <f>IF(SeilBeregnet=0,#REF!,SeilBeregnet^0.5/Depl^0.33333)</f>
        <v>#REF!</v>
      </c>
      <c r="EO79" s="110" t="e">
        <f>IF(SeilBeregnet=0,#REF!,((Loa+Lwl)/Bredde/6)^EO$3)</f>
        <v>#REF!</v>
      </c>
      <c r="EP79" s="110" t="e">
        <f>IF(SeilBeregnet=0,#REF!,(Lwl*0.7+Loa*0.3)^EP$3)</f>
        <v>#REF!</v>
      </c>
      <c r="EQ79" s="110" t="str">
        <f>IF(SeilBeregnet=0,"-",EQ$7*(ES:ES+EQ$6)*EV:EV*PropF+ErfaringsF+Dyp_F)</f>
        <v>-</v>
      </c>
      <c r="ES79" s="110" t="e">
        <f>(ET:ET*EU:EU)^ES$3</f>
        <v>#REF!</v>
      </c>
      <c r="ET79" s="110" t="e">
        <f>IF(SeilBeregnet=0,#REF!,SeilBeregnet^0.5/Depl^0.3333)</f>
        <v>#REF!</v>
      </c>
      <c r="EU79" s="110" t="e">
        <f>IF(SeilBeregnet=0,#REF!,((Loa+Lwl)/Bredde/6)^EU$3)</f>
        <v>#REF!</v>
      </c>
      <c r="EV79" s="110" t="e">
        <f>IF(SeilBeregnet=0,#REF!,(Lwl*0.7+Loa*0.3)^EV$3)</f>
        <v>#REF!</v>
      </c>
      <c r="EW79" s="110" t="str">
        <f>IF(SeilBeregnet=0,"-",EW$7*(EY:EY+EW$6)*FB:FB*PropF+ErfaringsF+Dyp_F)</f>
        <v>-</v>
      </c>
      <c r="EX79" s="144" t="str">
        <f>IF($DQ79=0,"-",(EW79-$DO79)*100)</f>
        <v>-</v>
      </c>
      <c r="EY79" s="110" t="e">
        <f>(EZ:EZ*FA:FA)^EY$3</f>
        <v>#REF!</v>
      </c>
      <c r="EZ79" s="136" t="e">
        <f>IF(SeilBeregnet=0,#REF!,(SeilBeregnet^0.5/(Depl^0.3333))^EZ$3)</f>
        <v>#REF!</v>
      </c>
      <c r="FA79" s="136" t="e">
        <f>IF(SeilBeregnet=0,#REF!,((Loa+Lwl)/Bredde/6)^FA$3)</f>
        <v>#REF!</v>
      </c>
      <c r="FB79" s="110" t="e">
        <f>IF(SeilBeregnet=0,#REF!,(Lwl*0.07+Loa*0.03)^FB$3)</f>
        <v>#REF!</v>
      </c>
      <c r="FC79" s="110" t="str">
        <f>IF(SeilBeregnet=0,"-",FC$7*(FE:FE+FC$6)*FI:FI*PropF+ErfaringsF+Dyp_F)</f>
        <v>-</v>
      </c>
      <c r="FD79" s="144" t="str">
        <f>IF($DQ79=0,"-",(FC79-$DO79)*100)</f>
        <v>-</v>
      </c>
      <c r="FE79" s="110" t="e">
        <f>(FF:FF+FG:FG+FH:FH)^FE$3+FE$7</f>
        <v>#REF!</v>
      </c>
      <c r="FF79" s="136" t="e">
        <f>IF(SeilBeregnet=0,#REF!,(SeilBeregnet^0.5/(Depl^0.3333))^FF$3)</f>
        <v>#REF!</v>
      </c>
      <c r="FG79" s="136" t="e">
        <f>IF(SeilBeregnet=0,#REF!,(SeilBeregnet^0.5/Lwl*FG$7)^FG$3)</f>
        <v>#REF!</v>
      </c>
      <c r="FH79" s="136" t="e">
        <f>IF(SeilBeregnet=0,#REF!,((Loa)/Bredde)^FH$3*FH$7)</f>
        <v>#REF!</v>
      </c>
      <c r="FI79" s="110" t="e">
        <f>IF(SeilBeregnet=0,#REF!,(Lwl)^FI$3)</f>
        <v>#REF!</v>
      </c>
      <c r="FJ79" s="110" t="str">
        <f>IF(SeilBeregnet=0,"-",FJ$7*(FL:FL+FJ$6)*FO:FO*PropF+ErfaringsF+Dyp_F)</f>
        <v>-</v>
      </c>
      <c r="FK79" s="144" t="str">
        <f>IF($DQ79=0,"-",(FJ79-$DO79)*100)</f>
        <v>-</v>
      </c>
      <c r="FL79" s="110" t="e">
        <f>(FM:FM*FN:FN)^FL$3</f>
        <v>#REF!</v>
      </c>
      <c r="FM79" s="136" t="e">
        <f>IF(SeilBeregnet=0,#REF!,(SeilBeregnet^0.5/(Depl^0.3333))^FM$3)</f>
        <v>#REF!</v>
      </c>
      <c r="FN79" s="136" t="e">
        <f>IF(SeilBeregnet=0,#REF!,(Loa/Bredde)^FN$3)</f>
        <v>#REF!</v>
      </c>
      <c r="FO79" s="110" t="e">
        <f>IF(SeilBeregnet=0,#REF!,Lwl^FO$3)</f>
        <v>#REF!</v>
      </c>
      <c r="FP79" s="129">
        <v>1.02</v>
      </c>
      <c r="FQ79">
        <v>0.95</v>
      </c>
      <c r="FR79" s="64" t="str">
        <f>IF(SeilBeregnet=0,"-",0.06*2.43^(1/2)*(SeilBeregnet^(1/2)/Depl^(1/3)+(Loa/Bredde)^(1/2)+5*(Dypg/Loa)^(1/2))*Lwl^(1/4)*FQ79)</f>
        <v>-</v>
      </c>
      <c r="FS79" s="480">
        <v>4</v>
      </c>
      <c r="FT79" s="59" t="s">
        <v>680</v>
      </c>
      <c r="FU79" s="475" t="s">
        <v>687</v>
      </c>
      <c r="FV79" s="77"/>
      <c r="FW79" s="59" t="s">
        <v>688</v>
      </c>
      <c r="FX79" s="59" t="s">
        <v>681</v>
      </c>
      <c r="FY79" s="59" t="s">
        <v>455</v>
      </c>
      <c r="FZ79" s="59" t="s">
        <v>497</v>
      </c>
      <c r="GB79" s="59" t="s">
        <v>522</v>
      </c>
      <c r="GC79" s="475" t="s">
        <v>522</v>
      </c>
      <c r="GD79" s="60" t="s">
        <v>522</v>
      </c>
      <c r="GE79" s="60" t="s">
        <v>522</v>
      </c>
      <c r="GF79" s="60" t="s">
        <v>522</v>
      </c>
      <c r="GG79" s="60" t="s">
        <v>522</v>
      </c>
      <c r="GI79" s="59" t="s">
        <v>233</v>
      </c>
      <c r="GJ79" s="59" t="s">
        <v>682</v>
      </c>
      <c r="GK79" s="59" t="s">
        <v>683</v>
      </c>
      <c r="GL79" s="59" t="s">
        <v>497</v>
      </c>
      <c r="GM79" s="59">
        <v>1915</v>
      </c>
      <c r="GN79" s="59" t="s">
        <v>512</v>
      </c>
      <c r="GO79" s="59" t="s">
        <v>477</v>
      </c>
      <c r="GP79" s="59" t="s">
        <v>522</v>
      </c>
    </row>
    <row r="80" spans="1:198" ht="15.6" x14ac:dyDescent="0.3">
      <c r="A80" s="62" t="s">
        <v>31</v>
      </c>
      <c r="B80" s="223"/>
      <c r="C80" s="63" t="str">
        <f>C79</f>
        <v>SPRI</v>
      </c>
      <c r="D80" s="63"/>
      <c r="E80" s="63"/>
      <c r="F80" s="63"/>
      <c r="G80" s="56"/>
      <c r="H80" s="209">
        <f>TBFavrundet</f>
        <v>87.999999999999986</v>
      </c>
      <c r="I80" s="65">
        <f>COUNTA(O80:AD80)</f>
        <v>4</v>
      </c>
      <c r="J80" s="228">
        <f>SUM(O80:AD80)</f>
        <v>32.5</v>
      </c>
      <c r="K80" s="119">
        <f>Seilareal/Depl^0.667/K$7</f>
        <v>1.5874156772848775</v>
      </c>
      <c r="L80" s="119">
        <f>Seilareal/Lwl/Lwl/L$7</f>
        <v>1.3698021199531265</v>
      </c>
      <c r="M80" s="95">
        <f>RiggF</f>
        <v>0.78</v>
      </c>
      <c r="N80" s="265">
        <f>StHfaktor</f>
        <v>0.99790131553475481</v>
      </c>
      <c r="O80" s="147"/>
      <c r="P80" s="147"/>
      <c r="Q80" s="169">
        <v>7</v>
      </c>
      <c r="R80" s="147"/>
      <c r="S80" s="147"/>
      <c r="T80" s="169">
        <v>7</v>
      </c>
      <c r="U80" s="169">
        <v>14</v>
      </c>
      <c r="V80" s="147"/>
      <c r="W80" s="147"/>
      <c r="X80" s="147"/>
      <c r="Y80" s="169">
        <v>4.5</v>
      </c>
      <c r="Z80" s="147"/>
      <c r="AA80" s="147"/>
      <c r="AB80" s="147"/>
      <c r="AC80" s="147"/>
      <c r="AD80" s="147"/>
      <c r="AE80" s="260">
        <f t="shared" ref="AE80:AE83" si="752">AE79</f>
        <v>5.9</v>
      </c>
      <c r="AF80" s="375">
        <f t="shared" ref="AF80" si="753" xml:space="preserve"> AF79</f>
        <v>0</v>
      </c>
      <c r="AG80" s="377"/>
      <c r="AH80" s="375">
        <f t="shared" ref="AH80" si="754" xml:space="preserve"> AH79</f>
        <v>0</v>
      </c>
      <c r="AI80" s="377"/>
      <c r="AJ80" s="295" t="str">
        <f t="shared" ref="AJ80:AJ83" si="755" xml:space="preserve"> AJ79</f>
        <v>Lystb</v>
      </c>
      <c r="AK80" s="47">
        <f>VLOOKUP(AJ80,Skrogform!$1:$1048576,3,FALSE)</f>
        <v>0.98</v>
      </c>
      <c r="AL80" s="66">
        <f t="shared" ref="AL80:AT80" si="756">AL79</f>
        <v>6.66</v>
      </c>
      <c r="AM80" s="66">
        <f t="shared" si="756"/>
        <v>6</v>
      </c>
      <c r="AN80" s="66">
        <f t="shared" si="756"/>
        <v>1.92</v>
      </c>
      <c r="AO80" s="66">
        <f t="shared" si="756"/>
        <v>1.3</v>
      </c>
      <c r="AP80" s="66">
        <f t="shared" si="756"/>
        <v>2.56</v>
      </c>
      <c r="AQ80" s="66">
        <f t="shared" si="756"/>
        <v>0.9</v>
      </c>
      <c r="AR80" s="66">
        <f t="shared" si="756"/>
        <v>0.26</v>
      </c>
      <c r="AS80" s="284">
        <f t="shared" si="756"/>
        <v>10</v>
      </c>
      <c r="AT80" s="284">
        <f t="shared" si="756"/>
        <v>70</v>
      </c>
      <c r="AU80" s="284">
        <f t="shared" ref="AU80:AV80" si="757">AU79</f>
        <v>0</v>
      </c>
      <c r="AV80" s="284">
        <f t="shared" si="757"/>
        <v>0</v>
      </c>
      <c r="AW80" s="284"/>
      <c r="AX80" s="284">
        <f>AX79</f>
        <v>0</v>
      </c>
      <c r="AY80" s="68"/>
      <c r="AZ80" s="68"/>
      <c r="BA80" s="289"/>
      <c r="BB80" s="68"/>
      <c r="BC80" s="179"/>
      <c r="BD80" s="68"/>
      <c r="BE80" s="68"/>
      <c r="BF80" s="67" t="str">
        <f t="shared" ref="BF80:BH80" si="758" xml:space="preserve"> BF79</f>
        <v>Seilrett</v>
      </c>
      <c r="BG80" s="295">
        <f t="shared" si="758"/>
        <v>3</v>
      </c>
      <c r="BH80" s="295">
        <f t="shared" si="758"/>
        <v>33</v>
      </c>
      <c r="BI80" s="47">
        <f>IF((BF80="Fast"),(1.006248-(0.06415*((BH80/100*SQRT(BG80))/POWER(AP80,(1/3))))),1)</f>
        <v>1</v>
      </c>
      <c r="BJ80" s="61"/>
      <c r="BK80" s="61"/>
      <c r="BM80" s="51">
        <f t="shared" ref="BM80:BR83" si="759">IF(O80=0,0,O80*BM$9)</f>
        <v>0</v>
      </c>
      <c r="BN80" s="51">
        <f t="shared" si="759"/>
        <v>0</v>
      </c>
      <c r="BO80" s="51">
        <f t="shared" si="759"/>
        <v>7</v>
      </c>
      <c r="BP80" s="51">
        <f t="shared" si="759"/>
        <v>0</v>
      </c>
      <c r="BQ80" s="51">
        <f t="shared" si="759"/>
        <v>0</v>
      </c>
      <c r="BR80" s="51">
        <f t="shared" si="759"/>
        <v>7</v>
      </c>
      <c r="BS80" s="52">
        <f>IF(COUNT(P80:T80)&gt;1,MINA(P80:T80)*BS$9,0)</f>
        <v>-2.1</v>
      </c>
      <c r="BT80" s="88">
        <f t="shared" ref="BT80:CC83" si="760">IF(U80=0,0,U80*BT$9)</f>
        <v>11.200000000000001</v>
      </c>
      <c r="BU80" s="88">
        <f t="shared" si="760"/>
        <v>0</v>
      </c>
      <c r="BV80" s="88">
        <f t="shared" si="760"/>
        <v>0</v>
      </c>
      <c r="BW80" s="88">
        <f t="shared" si="760"/>
        <v>0</v>
      </c>
      <c r="BX80" s="88">
        <f t="shared" si="760"/>
        <v>2.25</v>
      </c>
      <c r="BY80" s="88">
        <f t="shared" si="760"/>
        <v>0</v>
      </c>
      <c r="BZ80" s="88">
        <f t="shared" si="760"/>
        <v>0</v>
      </c>
      <c r="CA80" s="88">
        <f t="shared" si="760"/>
        <v>0</v>
      </c>
      <c r="CB80" s="88">
        <f t="shared" si="760"/>
        <v>0</v>
      </c>
      <c r="CC80" s="88">
        <f t="shared" si="760"/>
        <v>0</v>
      </c>
      <c r="CD80" s="103">
        <f>SUM(BM80:CC80)</f>
        <v>25.35</v>
      </c>
      <c r="CE80" s="52"/>
      <c r="CF80" s="107">
        <f>J80</f>
        <v>32.5</v>
      </c>
      <c r="CG80" s="104">
        <f>CD80/CF80</f>
        <v>0.78</v>
      </c>
      <c r="CH80" s="53">
        <f>Seilareal/Lwl/Lwl</f>
        <v>0.90277777777777779</v>
      </c>
      <c r="CI80" s="119">
        <f>Seilareal/Depl^0.667/K$7</f>
        <v>1.5874156772848775</v>
      </c>
      <c r="CJ80" s="53">
        <f>Seilareal/Lwl/Lwl/SApRS1</f>
        <v>1.3698021199531265</v>
      </c>
      <c r="CK80" s="209"/>
      <c r="CL80" s="209">
        <f>(ROUND(TBF/CL$6,3)*CL$6)*CL$4</f>
        <v>87.999999999999986</v>
      </c>
      <c r="CM80" s="110">
        <f t="shared" si="234"/>
        <v>0.88168252855476936</v>
      </c>
      <c r="CN80" s="64">
        <f>IF(SeilBeregnet=0,"-",(SeilBeregnet)^(1/2)*StHfaktor/(Depl+DeplTillegg/1000+Vann/1000+Diesel/1000*0.84)^(1/3))</f>
        <v>3.5818457803607626</v>
      </c>
      <c r="CO80" s="64">
        <f t="shared" si="203"/>
        <v>1.8157298807917437</v>
      </c>
      <c r="CP80" s="64">
        <f t="shared" si="204"/>
        <v>1.5650845800732873</v>
      </c>
      <c r="CQ80" s="110">
        <f t="shared" si="205"/>
        <v>0.99790131553475481</v>
      </c>
      <c r="CR80" s="172">
        <f>IF(CS80=0,"-",IF(CH80="TBF","-",CR$7*CS80))</f>
        <v>0.81788235294117662</v>
      </c>
      <c r="CS80" s="163">
        <f>CS79</f>
        <v>0.79</v>
      </c>
      <c r="CT80" s="172" t="str">
        <f>IF(CU80=0,"-",IF(CL80="TBF","-",CT$7*CU80))</f>
        <v>-</v>
      </c>
      <c r="CU80" s="163">
        <f>CU79</f>
        <v>0</v>
      </c>
      <c r="CV80" s="195" t="s">
        <v>145</v>
      </c>
      <c r="CW80" s="64" t="s">
        <v>111</v>
      </c>
      <c r="CX80" s="64" t="s">
        <v>111</v>
      </c>
      <c r="CY80" s="64" t="s">
        <v>111</v>
      </c>
      <c r="CZ80" s="154" t="s">
        <v>111</v>
      </c>
      <c r="DA80" s="64">
        <f t="shared" si="392"/>
        <v>2.2109125593033214</v>
      </c>
      <c r="DB80" s="49">
        <f t="shared" si="393"/>
        <v>14.573991031390134</v>
      </c>
      <c r="DC80" s="50">
        <f>DB$7*IF(DB80&lt;DB$5,-0.04,IF(DB80&lt;DB$5*1.1,-0.03,IF(DB80&lt;DB$5*1.2,-0.02,IF(DB80&lt;DB$5*1.3,-0.01,0))))</f>
        <v>0</v>
      </c>
      <c r="DE80" s="110">
        <f>IF(SeilBeregnet=0,"-",DE$7*(DG:DG+DE$6)*DL:DL*PropF+ErfaringsF+Dyp_F)</f>
        <v>0.87621615457747248</v>
      </c>
      <c r="DF80" s="144" t="str">
        <f>IF($DQ80=0,"-",(DE80-$DO80)*100)</f>
        <v>-</v>
      </c>
      <c r="DG80" s="110">
        <f>SUM(DH80:DK80)^DG$3+DG$7</f>
        <v>5.5430917801629889</v>
      </c>
      <c r="DH80" s="136">
        <f>IF(SeilBeregnet=0,DH79,(SeilBeregnet^0.5/(Depl^0.3333))^DH$3*DH$7)</f>
        <v>3.6806337269440719</v>
      </c>
      <c r="DI80" s="136">
        <f>IF(SeilBeregnet=0,DI79,(SeilBeregnet^0.5/Lwl)^DI$3*DI$7)</f>
        <v>0</v>
      </c>
      <c r="DJ80" s="136">
        <f>IF(SeilBeregnet=0,DJ79,(0.1*Loa/Depl^0.3333)^DJ$3*DJ$7)</f>
        <v>0</v>
      </c>
      <c r="DK80" s="136">
        <f>IF(SeilBeregnet=0,DK79,((Loa)/Bredde)^DK$3*DK$7)</f>
        <v>1.8624580532189174</v>
      </c>
      <c r="DL80" s="110">
        <f>IF(SeilBeregnet=0,DL79,(Lwl)^DL$3)</f>
        <v>1.5650845800732873</v>
      </c>
      <c r="DM80" s="136">
        <f>IF(SeilBeregnet=0,DM79,(Dypg/Loa)^DM$3*5*DM$7)</f>
        <v>2.2090450153584196</v>
      </c>
      <c r="DO80" s="110">
        <f t="shared" si="344"/>
        <v>0.89967604954568303</v>
      </c>
      <c r="DP80" s="110">
        <f t="shared" si="396"/>
        <v>0.87413864979966016</v>
      </c>
      <c r="DR80" s="110">
        <f t="shared" si="397"/>
        <v>0.89377732086667006</v>
      </c>
      <c r="DS80" s="125" t="str">
        <f>IF($DQ80=0,"-",DR80-$DO80)</f>
        <v>-</v>
      </c>
      <c r="DT80" s="110">
        <f>IF(SeilBeregnet=0,"-",DT$7*(DT$4*DV80*DW80*DX80*PropF+DT$6)+ErfaringsF+Dyp_F)</f>
        <v>0.89716664902664145</v>
      </c>
      <c r="DU80" s="125" t="str">
        <f>IF($DQ80=0,"-",DT80-$DO80)</f>
        <v>-</v>
      </c>
      <c r="DV80" s="110">
        <f>IF(SeilBeregnet=0,DV79,SeilBeregnet^0.5/Depl^0.33333)</f>
        <v>3.6805299337349986</v>
      </c>
      <c r="DW80" s="110">
        <f>IF(SeilBeregnet=0,DW79,Lwl^0.3333)</f>
        <v>1.8170120679720481</v>
      </c>
      <c r="DX80" s="110">
        <f>IF(SeilBeregnet=0,DX79,((Loa+Lwl)/Bredde)^DX$3)</f>
        <v>1.6024449516353962</v>
      </c>
      <c r="DZ80" s="110">
        <f>IF(SeilBeregnet=0,"-",DZ$7*(DZ$4*EB80*EC80*ED80*PropF+DZ$6)+ErfaringsF+Dyp_F)</f>
        <v>0.90272395833774333</v>
      </c>
      <c r="EB80" s="110">
        <f>IF(SeilBeregnet=0,EB79,SeilBeregnet^0.5/Depl^0.33333)</f>
        <v>3.6805299337349986</v>
      </c>
      <c r="EC80" s="110">
        <f>IF(SeilBeregnet=0,EC79,Lwl^EC$3)</f>
        <v>1.8171097400544527</v>
      </c>
      <c r="ED80" s="110">
        <f>IF(SeilBeregnet=0,ED79,((Loa+Lwl)/Bredde)^ED$3)</f>
        <v>1.8750672763232756</v>
      </c>
      <c r="EE80" s="110">
        <f>IF(SeilBeregnet=0,"-",EE$7*(EE$4*EG80+EE$6)*EJ80*PropF+ErfaringsF+Dyp_F)</f>
        <v>0.88989697072198404</v>
      </c>
      <c r="EG80" s="110">
        <f>IF(SeilBeregnet=0,EG79,(EH80*EI80)^EG$3)</f>
        <v>5.8978466116566084</v>
      </c>
      <c r="EH80" s="110">
        <f>IF(SeilBeregnet=0,EH79,SeilBeregnet^0.5/Depl^0.33333)</f>
        <v>3.6805299337349986</v>
      </c>
      <c r="EI80" s="110">
        <f>IF(SeilBeregnet=0,EI79,((Loa+Lwl)/Bredde)^EI$3)</f>
        <v>1.6024449516353962</v>
      </c>
      <c r="EJ80" s="110">
        <f>IF(SeilBeregnet=0,EJ79,Lwl^EJ$3)</f>
        <v>1.5650845800732873</v>
      </c>
      <c r="EK80" s="110">
        <f>IF(SeilBeregnet=0,"-",EK$7*(EK$4*EM:EM+EK$6)*EP:EP*PropF+ErfaringsF+Dyp_F)</f>
        <v>0.88292477648373191</v>
      </c>
      <c r="EM80" s="110">
        <f>IF(SeilBeregnet=0,EM79,(EN:EN*EO:EO)^EM$3)</f>
        <v>1.9412337371940125</v>
      </c>
      <c r="EN80" s="110">
        <f>IF(SeilBeregnet=0,EN79,SeilBeregnet^0.5/Depl^0.33333)</f>
        <v>3.6805299337349986</v>
      </c>
      <c r="EO80" s="110">
        <f>IF(SeilBeregnet=0,EO79,((Loa+Lwl)/Bredde/6)^EO$3)</f>
        <v>1.0238711517816879</v>
      </c>
      <c r="EP80" s="110">
        <f>IF(SeilBeregnet=0,EP79,(Lwl*0.7+Loa*0.3)^EP$3)</f>
        <v>1.5778397502725663</v>
      </c>
      <c r="EQ80" s="110">
        <f>IF(SeilBeregnet=0,"-",EQ$7*(ES:ES+EQ$6)*EV:EV*PropF+ErfaringsF+Dyp_F)</f>
        <v>0.83815590622910541</v>
      </c>
      <c r="ES80" s="110">
        <f>(ET:ET*EU:EU)^ES$3</f>
        <v>1.9412611089940357</v>
      </c>
      <c r="ET80" s="110">
        <f>IF(SeilBeregnet=0,ET79,SeilBeregnet^0.5/Depl^0.3333)</f>
        <v>3.6806337269440719</v>
      </c>
      <c r="EU80" s="110">
        <f>IF(SeilBeregnet=0,EU79,((Loa+Lwl)/Bredde/6)^EU$3)</f>
        <v>1.0238711517816879</v>
      </c>
      <c r="EV80" s="110">
        <f>IF(SeilBeregnet=0,EV79,(Lwl*0.7+Loa*0.3)^EV$3)</f>
        <v>1.5778397502725663</v>
      </c>
      <c r="EW80" s="110">
        <f>IF(SeilBeregnet=0,"-",EW$7*(EY:EY+EW$6)*FB:FB*PropF+ErfaringsF+Dyp_F)</f>
        <v>0.88887758290887375</v>
      </c>
      <c r="EX80" s="144" t="str">
        <f>IF($DQ80=0,"-",(EW80-$DO80)*100)</f>
        <v>-</v>
      </c>
      <c r="EY80" s="110">
        <f>(EZ:EZ*FA:FA)^EY$3</f>
        <v>3.8584530021048304</v>
      </c>
      <c r="EZ80" s="136">
        <f>IF(SeilBeregnet=0,EZ79,(SeilBeregnet^0.5/(Depl^0.3333))^EZ$3)</f>
        <v>3.6806337269440719</v>
      </c>
      <c r="FA80" s="136">
        <f>IF(SeilBeregnet=0,FA79,((Loa+Lwl)/Bredde/6)^FA$3)</f>
        <v>1.0483121354507603</v>
      </c>
      <c r="FB80" s="110">
        <f>IF(SeilBeregnet=0,FB79,(Lwl*0.07+Loa*0.03)^FB$3)</f>
        <v>0.88728449610628435</v>
      </c>
      <c r="FC80" s="110">
        <f>IF(SeilBeregnet=0,"-",FC$7*(FE:FE+FC$6)*FI:FI*PropF+ErfaringsF+Dyp_F)</f>
        <v>0.88379522487045559</v>
      </c>
      <c r="FD80" s="144" t="str">
        <f>IF($DQ80=0,"-",(FC80-$DO80)*100)</f>
        <v>-</v>
      </c>
      <c r="FE80" s="110">
        <f>(FF:FF+FG:FG+FH:FH)^FE$3+FE$7</f>
        <v>5.8822381718412631</v>
      </c>
      <c r="FF80" s="136">
        <f>IF(SeilBeregnet=0,FF79,(SeilBeregnet^0.5/(Depl^0.3333))^FF$3)</f>
        <v>3.6806337269440719</v>
      </c>
      <c r="FG80" s="136">
        <f>IF(SeilBeregnet=0,FG79,(SeilBeregnet^0.5/Lwl*FG$7)^FG$3)</f>
        <v>0.83914639167827365</v>
      </c>
      <c r="FH80" s="136">
        <f>IF(SeilBeregnet=0,FH79,((Loa)/Bredde)^FH$3*FH$7)</f>
        <v>1.8624580532189174</v>
      </c>
      <c r="FI80" s="110">
        <f>IF(SeilBeregnet=0,FI79,(Lwl)^FI$3)</f>
        <v>1.5650845800732873</v>
      </c>
      <c r="FJ80" s="110">
        <f>IF(SeilBeregnet=0,"-",FJ$7*(FL:FL+FJ$6)*FO:FO*PropF+ErfaringsF+Dyp_F)</f>
        <v>0.88342975201534546</v>
      </c>
      <c r="FK80" s="144" t="str">
        <f>IF($DQ80=0,"-",(FJ80-$DO80)*100)</f>
        <v>-</v>
      </c>
      <c r="FL80" s="110">
        <f>(FM:FM*FN:FN)^FL$3</f>
        <v>6.855025925696145</v>
      </c>
      <c r="FM80" s="136">
        <f>IF(SeilBeregnet=0,FM79,(SeilBeregnet^0.5/(Depl^0.3333))^FM$3)</f>
        <v>3.6806337269440719</v>
      </c>
      <c r="FN80" s="136">
        <f>IF(SeilBeregnet=0,FN79,(Loa/Bredde)^FN$3)</f>
        <v>1.8624580532189174</v>
      </c>
      <c r="FO80" s="110">
        <f>IF(SeilBeregnet=0,FO79,Lwl^FO$3)</f>
        <v>1.5650845800732873</v>
      </c>
      <c r="FP80" s="129">
        <v>0.82</v>
      </c>
      <c r="FQ80">
        <v>0.95</v>
      </c>
      <c r="FR80" s="64">
        <f>IF(SeilBeregnet=0,"-",0.06*2.43^(1/2)*(SeilBeregnet^(1/2)/Depl^(1/3)+(Loa/Bredde)^(1/2)+5*(Dypg/Loa)^(1/2))*Lwl^(1/4)*FQ80)</f>
        <v>1.0780298141518945</v>
      </c>
      <c r="FS80" s="479"/>
      <c r="FT80" s="18"/>
      <c r="FU80" s="481"/>
      <c r="FV80" s="504"/>
      <c r="FW80" s="18"/>
      <c r="FX80" s="18"/>
      <c r="FY80" s="18"/>
      <c r="FZ80" s="18"/>
      <c r="GB80" s="18"/>
      <c r="GC80" s="481"/>
      <c r="GD80" s="8"/>
      <c r="GE80" s="8"/>
      <c r="GF80" s="8"/>
      <c r="GG80" s="8"/>
      <c r="GI80" s="18"/>
      <c r="GJ80" s="18"/>
      <c r="GK80" s="18"/>
      <c r="GL80" s="18"/>
      <c r="GM80" s="18"/>
      <c r="GN80" s="18"/>
      <c r="GO80" s="18"/>
      <c r="GP80" s="18"/>
    </row>
    <row r="81" spans="1:198" ht="15.6" x14ac:dyDescent="0.3">
      <c r="A81" s="62" t="s">
        <v>32</v>
      </c>
      <c r="B81" s="223"/>
      <c r="C81" s="63" t="str">
        <f t="shared" ref="C81:C83" si="761">C80</f>
        <v>SPRI</v>
      </c>
      <c r="D81" s="63"/>
      <c r="E81" s="63"/>
      <c r="F81" s="63"/>
      <c r="G81" s="56"/>
      <c r="H81" s="209">
        <f>TBFavrundet</f>
        <v>85.500000000000014</v>
      </c>
      <c r="I81" s="65">
        <f>COUNTA(O81:AD81)</f>
        <v>3</v>
      </c>
      <c r="J81" s="228">
        <f>SUM(O81:AD81)</f>
        <v>28</v>
      </c>
      <c r="K81" s="119">
        <f>Seilareal/Depl^0.667/K$7</f>
        <v>1.3676196604300486</v>
      </c>
      <c r="L81" s="119">
        <f>Seilareal/Lwl/Lwl/L$7</f>
        <v>1.1801372110365398</v>
      </c>
      <c r="M81" s="95">
        <f>RiggF</f>
        <v>0.82500000000000007</v>
      </c>
      <c r="N81" s="265">
        <f>StHfaktor</f>
        <v>0.99790131553475481</v>
      </c>
      <c r="O81" s="147"/>
      <c r="P81" s="147"/>
      <c r="Q81" s="169">
        <v>7</v>
      </c>
      <c r="R81" s="147"/>
      <c r="S81" s="147"/>
      <c r="T81" s="169">
        <v>7</v>
      </c>
      <c r="U81" s="169">
        <v>14</v>
      </c>
      <c r="V81" s="147"/>
      <c r="W81" s="147"/>
      <c r="X81" s="147"/>
      <c r="Y81" s="147"/>
      <c r="Z81" s="147"/>
      <c r="AA81" s="147"/>
      <c r="AB81" s="147"/>
      <c r="AC81" s="147"/>
      <c r="AD81" s="147"/>
      <c r="AE81" s="260">
        <f t="shared" si="752"/>
        <v>5.9</v>
      </c>
      <c r="AF81" s="375">
        <f t="shared" ref="AF81" si="762" xml:space="preserve"> AF80</f>
        <v>0</v>
      </c>
      <c r="AG81" s="377"/>
      <c r="AH81" s="375">
        <f t="shared" ref="AH81" si="763" xml:space="preserve"> AH80</f>
        <v>0</v>
      </c>
      <c r="AI81" s="377"/>
      <c r="AJ81" s="295" t="str">
        <f t="shared" si="755"/>
        <v>Lystb</v>
      </c>
      <c r="AK81" s="47">
        <f>VLOOKUP(AJ81,Skrogform!$1:$1048576,3,FALSE)</f>
        <v>0.98</v>
      </c>
      <c r="AL81" s="66">
        <f t="shared" ref="AL81:AT81" si="764">AL80</f>
        <v>6.66</v>
      </c>
      <c r="AM81" s="66">
        <f t="shared" si="764"/>
        <v>6</v>
      </c>
      <c r="AN81" s="66">
        <f t="shared" si="764"/>
        <v>1.92</v>
      </c>
      <c r="AO81" s="66">
        <f t="shared" si="764"/>
        <v>1.3</v>
      </c>
      <c r="AP81" s="66">
        <f t="shared" si="764"/>
        <v>2.56</v>
      </c>
      <c r="AQ81" s="66">
        <f t="shared" si="764"/>
        <v>0.9</v>
      </c>
      <c r="AR81" s="66">
        <f t="shared" si="764"/>
        <v>0.26</v>
      </c>
      <c r="AS81" s="284">
        <f t="shared" si="764"/>
        <v>10</v>
      </c>
      <c r="AT81" s="284">
        <f t="shared" si="764"/>
        <v>70</v>
      </c>
      <c r="AU81" s="284">
        <f t="shared" ref="AU81:AV81" si="765">AU80</f>
        <v>0</v>
      </c>
      <c r="AV81" s="284">
        <f t="shared" si="765"/>
        <v>0</v>
      </c>
      <c r="AW81" s="284"/>
      <c r="AX81" s="284">
        <f>AX80</f>
        <v>0</v>
      </c>
      <c r="AY81" s="68"/>
      <c r="AZ81" s="68"/>
      <c r="BA81" s="289"/>
      <c r="BB81" s="68"/>
      <c r="BC81" s="179"/>
      <c r="BD81" s="68"/>
      <c r="BE81" s="68"/>
      <c r="BF81" s="67" t="str">
        <f t="shared" ref="BF81:BH81" si="766" xml:space="preserve"> BF80</f>
        <v>Seilrett</v>
      </c>
      <c r="BG81" s="295">
        <f t="shared" si="766"/>
        <v>3</v>
      </c>
      <c r="BH81" s="295">
        <f t="shared" si="766"/>
        <v>33</v>
      </c>
      <c r="BI81" s="47">
        <f>IF((BF81="Fast"),(1.006248-(0.06415*((BH81/100*SQRT(BG81))/POWER(AP81,(1/3))))),1)</f>
        <v>1</v>
      </c>
      <c r="BJ81" s="61"/>
      <c r="BK81" s="61"/>
      <c r="BM81" s="51">
        <f t="shared" si="759"/>
        <v>0</v>
      </c>
      <c r="BN81" s="51">
        <f t="shared" si="759"/>
        <v>0</v>
      </c>
      <c r="BO81" s="51">
        <f t="shared" si="759"/>
        <v>7</v>
      </c>
      <c r="BP81" s="51">
        <f t="shared" si="759"/>
        <v>0</v>
      </c>
      <c r="BQ81" s="51">
        <f t="shared" si="759"/>
        <v>0</v>
      </c>
      <c r="BR81" s="51">
        <f t="shared" si="759"/>
        <v>7</v>
      </c>
      <c r="BS81" s="52">
        <f>IF(COUNT(P81:T81)&gt;1,MINA(P81:T81)*BS$9,0)</f>
        <v>-2.1</v>
      </c>
      <c r="BT81" s="88">
        <f t="shared" si="760"/>
        <v>11.200000000000001</v>
      </c>
      <c r="BU81" s="88">
        <f t="shared" si="760"/>
        <v>0</v>
      </c>
      <c r="BV81" s="88">
        <f t="shared" si="760"/>
        <v>0</v>
      </c>
      <c r="BW81" s="88">
        <f t="shared" si="760"/>
        <v>0</v>
      </c>
      <c r="BX81" s="88">
        <f t="shared" si="760"/>
        <v>0</v>
      </c>
      <c r="BY81" s="88">
        <f t="shared" si="760"/>
        <v>0</v>
      </c>
      <c r="BZ81" s="88">
        <f t="shared" si="760"/>
        <v>0</v>
      </c>
      <c r="CA81" s="88">
        <f t="shared" si="760"/>
        <v>0</v>
      </c>
      <c r="CB81" s="88">
        <f t="shared" si="760"/>
        <v>0</v>
      </c>
      <c r="CC81" s="88">
        <f t="shared" si="760"/>
        <v>0</v>
      </c>
      <c r="CD81" s="103">
        <f>SUM(BM81:CC81)</f>
        <v>23.1</v>
      </c>
      <c r="CE81" s="52"/>
      <c r="CF81" s="107">
        <f>J81</f>
        <v>28</v>
      </c>
      <c r="CG81" s="104">
        <f>CD81/CF81</f>
        <v>0.82500000000000007</v>
      </c>
      <c r="CH81" s="53">
        <f>Seilareal/Lwl/Lwl</f>
        <v>0.77777777777777779</v>
      </c>
      <c r="CI81" s="119">
        <f>Seilareal/Depl^0.667/K$7</f>
        <v>1.3676196604300486</v>
      </c>
      <c r="CJ81" s="53">
        <f>Seilareal/Lwl/Lwl/SApRS1</f>
        <v>1.1801372110365398</v>
      </c>
      <c r="CK81" s="209"/>
      <c r="CL81" s="209">
        <f>(ROUND(TBF/CL$6,3)*CL$6)*CL$4</f>
        <v>85.500000000000014</v>
      </c>
      <c r="CM81" s="110">
        <f t="shared" si="234"/>
        <v>0.85511389623854683</v>
      </c>
      <c r="CN81" s="64">
        <f>IF(SeilBeregnet=0,"-",(SeilBeregnet)^(1/2)*StHfaktor/(Depl+DeplTillegg/1000+Vann/1000+Diesel/1000*0.84)^(1/3))</f>
        <v>3.41919516804204</v>
      </c>
      <c r="CO81" s="64">
        <f t="shared" si="203"/>
        <v>1.8157298807917437</v>
      </c>
      <c r="CP81" s="64">
        <f t="shared" si="204"/>
        <v>1.5650845800732873</v>
      </c>
      <c r="CQ81" s="110">
        <f t="shared" si="205"/>
        <v>0.99790131553475481</v>
      </c>
      <c r="CR81" s="172" t="str">
        <f>IF(CS81=0,"-",IF(CH81="TBF","-",CR$7*CS81))</f>
        <v>-</v>
      </c>
      <c r="CS81" s="162"/>
      <c r="CT81" s="172" t="str">
        <f>IF(CU81=0,"-",IF(CL81="TBF","-",CT$7*CU81))</f>
        <v>-</v>
      </c>
      <c r="CU81" s="164"/>
      <c r="CV81" s="195" t="s">
        <v>145</v>
      </c>
      <c r="CW81" s="64" t="s">
        <v>111</v>
      </c>
      <c r="CX81" s="64" t="s">
        <v>111</v>
      </c>
      <c r="CY81" s="64" t="s">
        <v>111</v>
      </c>
      <c r="CZ81" s="154" t="s">
        <v>111</v>
      </c>
      <c r="DA81" s="64">
        <f t="shared" si="392"/>
        <v>2.2109125593033214</v>
      </c>
      <c r="DB81" s="49">
        <f t="shared" si="393"/>
        <v>14.573991031390134</v>
      </c>
      <c r="DC81" s="50">
        <f>DB$7*IF(DB81&lt;DB$5,-0.04,IF(DB81&lt;DB$5*1.1,-0.03,IF(DB81&lt;DB$5*1.2,-0.02,IF(DB81&lt;DB$5*1.3,-0.01,0))))</f>
        <v>0</v>
      </c>
      <c r="DE81" s="110">
        <f>IF(SeilBeregnet=0,"-",DE$7*(DG:DG+DE$6)*DL:DL*PropF+ErfaringsF+Dyp_F)</f>
        <v>0.84979628877131053</v>
      </c>
      <c r="DF81" s="144" t="str">
        <f>IF($DQ81=0,"-",(DE81-$DO81)*100)</f>
        <v>-</v>
      </c>
      <c r="DG81" s="110">
        <f>SUM(DH81:DK81)^DG$3+DG$7</f>
        <v>5.3759552348960682</v>
      </c>
      <c r="DH81" s="136">
        <f>IF(SeilBeregnet=0,DH80,(SeilBeregnet^0.5/(Depl^0.3333))^DH$3*DH$7)</f>
        <v>3.5134971816771507</v>
      </c>
      <c r="DI81" s="136">
        <f>IF(SeilBeregnet=0,DI80,(SeilBeregnet^0.5/Lwl)^DI$3*DI$7)</f>
        <v>0</v>
      </c>
      <c r="DJ81" s="136">
        <f>IF(SeilBeregnet=0,DJ80,(0.1*Loa/Depl^0.3333)^DJ$3*DJ$7)</f>
        <v>0</v>
      </c>
      <c r="DK81" s="136">
        <f>IF(SeilBeregnet=0,DK80,((Loa)/Bredde)^DK$3*DK$7)</f>
        <v>1.8624580532189174</v>
      </c>
      <c r="DL81" s="110">
        <f>IF(SeilBeregnet=0,DL80,(Lwl)^DL$3)</f>
        <v>1.5650845800732873</v>
      </c>
      <c r="DM81" s="136">
        <f>IF(SeilBeregnet=0,DM80,(Dypg/Loa)^DM$3*5*DM$7)</f>
        <v>2.2090450153584196</v>
      </c>
      <c r="DO81" s="110">
        <f t="shared" si="344"/>
        <v>0.872565200243415</v>
      </c>
      <c r="DP81" s="110">
        <f t="shared" si="396"/>
        <v>0.84340412665546272</v>
      </c>
      <c r="DR81" s="110">
        <f t="shared" si="397"/>
        <v>0.86844550107957297</v>
      </c>
      <c r="DS81" s="125" t="str">
        <f>IF($DQ81=0,"-",DR81-$DO81)</f>
        <v>-</v>
      </c>
      <c r="DT81" s="110">
        <f>IF(SeilBeregnet=0,"-",DT$7*(DT$4*DV81*DW81*DX81*PropF+DT$6)+ErfaringsF+Dyp_F)</f>
        <v>0.86667101774736899</v>
      </c>
      <c r="DU81" s="125" t="str">
        <f>IF($DQ81=0,"-",DT81-$DO81)</f>
        <v>-</v>
      </c>
      <c r="DV81" s="110">
        <f>IF(SeilBeregnet=0,DV80,SeilBeregnet^0.5/Depl^0.33333)</f>
        <v>3.5133981016885913</v>
      </c>
      <c r="DW81" s="110">
        <f>IF(SeilBeregnet=0,DW80,Lwl^0.3333)</f>
        <v>1.8170120679720481</v>
      </c>
      <c r="DX81" s="110">
        <f>IF(SeilBeregnet=0,DX80,((Loa+Lwl)/Bredde)^DX$3)</f>
        <v>1.6024449516353962</v>
      </c>
      <c r="DZ81" s="110">
        <f>IF(SeilBeregnet=0,"-",DZ$7*(DZ$4*EB81*EC81*ED81*PropF+DZ$6)+ErfaringsF+Dyp_F)</f>
        <v>0.87499745522647243</v>
      </c>
      <c r="EB81" s="110">
        <f>IF(SeilBeregnet=0,EB80,SeilBeregnet^0.5/Depl^0.33333)</f>
        <v>3.5133981016885913</v>
      </c>
      <c r="EC81" s="110">
        <f>IF(SeilBeregnet=0,EC80,Lwl^EC$3)</f>
        <v>1.8171097400544527</v>
      </c>
      <c r="ED81" s="110">
        <f>IF(SeilBeregnet=0,ED80,((Loa+Lwl)/Bredde)^ED$3)</f>
        <v>1.8750672763232756</v>
      </c>
      <c r="EE81" s="110">
        <f>IF(SeilBeregnet=0,"-",EE$7*(EE$4*EG81+EE$6)*EJ81*PropF+ErfaringsF+Dyp_F)</f>
        <v>0.85972016084884928</v>
      </c>
      <c r="EG81" s="110">
        <f>IF(SeilBeregnet=0,EG80,(EH81*EI81)^EG$3)</f>
        <v>5.6300270511362678</v>
      </c>
      <c r="EH81" s="110">
        <f>IF(SeilBeregnet=0,EH80,SeilBeregnet^0.5/Depl^0.33333)</f>
        <v>3.5133981016885913</v>
      </c>
      <c r="EI81" s="110">
        <f>IF(SeilBeregnet=0,EI80,((Loa+Lwl)/Bredde)^EI$3)</f>
        <v>1.6024449516353962</v>
      </c>
      <c r="EJ81" s="110">
        <f>IF(SeilBeregnet=0,EJ80,Lwl^EJ$3)</f>
        <v>1.5650845800732873</v>
      </c>
      <c r="EK81" s="110">
        <f>IF(SeilBeregnet=0,"-",EK$7*(EK$4*EM:EM+EK$6)*EP:EP*PropF+ErfaringsF+Dyp_F)</f>
        <v>0.85560970283068516</v>
      </c>
      <c r="EM81" s="110">
        <f>IF(SeilBeregnet=0,EM80,(EN:EN*EO:EO)^EM$3)</f>
        <v>1.8966462403525581</v>
      </c>
      <c r="EN81" s="110">
        <f>IF(SeilBeregnet=0,EN80,SeilBeregnet^0.5/Depl^0.33333)</f>
        <v>3.5133981016885913</v>
      </c>
      <c r="EO81" s="110">
        <f>IF(SeilBeregnet=0,EO80,((Loa+Lwl)/Bredde/6)^EO$3)</f>
        <v>1.0238711517816879</v>
      </c>
      <c r="EP81" s="110">
        <f>IF(SeilBeregnet=0,EP80,(Lwl*0.7+Loa*0.3)^EP$3)</f>
        <v>1.5778397502725663</v>
      </c>
      <c r="EQ81" s="110">
        <f>IF(SeilBeregnet=0,"-",EQ$7*(ES:ES+EQ$6)*EV:EV*PropF+ErfaringsF+Dyp_F)</f>
        <v>0.81890460582895086</v>
      </c>
      <c r="ES81" s="110">
        <f>(ET:ET*EU:EU)^ES$3</f>
        <v>1.896672983459589</v>
      </c>
      <c r="ET81" s="110">
        <f>IF(SeilBeregnet=0,ET80,SeilBeregnet^0.5/Depl^0.3333)</f>
        <v>3.5134971816771507</v>
      </c>
      <c r="EU81" s="110">
        <f>IF(SeilBeregnet=0,EU80,((Loa+Lwl)/Bredde/6)^EU$3)</f>
        <v>1.0238711517816879</v>
      </c>
      <c r="EV81" s="110">
        <f>IF(SeilBeregnet=0,EV80,(Lwl*0.7+Loa*0.3)^EV$3)</f>
        <v>1.5778397502725663</v>
      </c>
      <c r="EW81" s="110">
        <f>IF(SeilBeregnet=0,"-",EW$7*(EY:EY+EW$6)*FB:FB*PropF+ErfaringsF+Dyp_F)</f>
        <v>0.86229353948524645</v>
      </c>
      <c r="EX81" s="144" t="str">
        <f>IF($DQ81=0,"-",(EW81-$DO81)*100)</f>
        <v>-</v>
      </c>
      <c r="EY81" s="110">
        <f>(EZ:EZ*FA:FA)^EY$3</f>
        <v>3.683241733424202</v>
      </c>
      <c r="EZ81" s="136">
        <f>IF(SeilBeregnet=0,EZ80,(SeilBeregnet^0.5/(Depl^0.3333))^EZ$3)</f>
        <v>3.5134971816771507</v>
      </c>
      <c r="FA81" s="136">
        <f>IF(SeilBeregnet=0,FA80,((Loa+Lwl)/Bredde/6)^FA$3)</f>
        <v>1.0483121354507603</v>
      </c>
      <c r="FB81" s="110">
        <f>IF(SeilBeregnet=0,FB80,(Lwl*0.07+Loa*0.03)^FB$3)</f>
        <v>0.88728449610628435</v>
      </c>
      <c r="FC81" s="110">
        <f>IF(SeilBeregnet=0,"-",FC$7*(FE:FE+FC$6)*FI:FI*PropF+ErfaringsF+Dyp_F)</f>
        <v>0.85295800816785883</v>
      </c>
      <c r="FD81" s="144" t="str">
        <f>IF($DQ81=0,"-",(FC81-$DO81)*100)</f>
        <v>-</v>
      </c>
      <c r="FE81" s="110">
        <f>(FF:FF+FG:FG+FH:FH)^FE$3+FE$7</f>
        <v>5.6769962242759293</v>
      </c>
      <c r="FF81" s="136">
        <f>IF(SeilBeregnet=0,FF80,(SeilBeregnet^0.5/(Depl^0.3333))^FF$3)</f>
        <v>3.5134971816771507</v>
      </c>
      <c r="FG81" s="136">
        <f>IF(SeilBeregnet=0,FG80,(SeilBeregnet^0.5/Lwl*FG$7)^FG$3)</f>
        <v>0.80104098937986112</v>
      </c>
      <c r="FH81" s="136">
        <f>IF(SeilBeregnet=0,FH80,((Loa)/Bredde)^FH$3*FH$7)</f>
        <v>1.8624580532189174</v>
      </c>
      <c r="FI81" s="110">
        <f>IF(SeilBeregnet=0,FI80,(Lwl)^FI$3)</f>
        <v>1.5650845800732873</v>
      </c>
      <c r="FJ81" s="110">
        <f>IF(SeilBeregnet=0,"-",FJ$7*(FL:FL+FJ$6)*FO:FO*PropF+ErfaringsF+Dyp_F)</f>
        <v>0.85809602552570441</v>
      </c>
      <c r="FK81" s="144" t="str">
        <f>IF($DQ81=0,"-",(FJ81-$DO81)*100)</f>
        <v>-</v>
      </c>
      <c r="FL81" s="110">
        <f>(FM:FM*FN:FN)^FL$3</f>
        <v>6.5437411209765797</v>
      </c>
      <c r="FM81" s="136">
        <f>IF(SeilBeregnet=0,FM80,(SeilBeregnet^0.5/(Depl^0.3333))^FM$3)</f>
        <v>3.5134971816771507</v>
      </c>
      <c r="FN81" s="136">
        <f>IF(SeilBeregnet=0,FN80,(Loa/Bredde)^FN$3)</f>
        <v>1.8624580532189174</v>
      </c>
      <c r="FO81" s="110">
        <f>IF(SeilBeregnet=0,FO80,Lwl^FO$3)</f>
        <v>1.5650845800732873</v>
      </c>
      <c r="FP81" s="129">
        <v>0.88</v>
      </c>
      <c r="FQ81">
        <v>0.95</v>
      </c>
      <c r="FR81" s="64">
        <f>IF(SeilBeregnet=0,"-",0.06*2.43^(1/2)*(SeilBeregnet^(1/2)/Depl^(1/3)+(Loa/Bredde)^(1/2)+5*(Dypg/Loa)^(1/2))*Lwl^(1/4)*FQ81)</f>
        <v>1.054787807664521</v>
      </c>
      <c r="FS81" s="479"/>
      <c r="FT81" s="18"/>
      <c r="FU81" s="481"/>
      <c r="FV81" s="504"/>
      <c r="FW81" s="18"/>
      <c r="FX81" s="18"/>
      <c r="FY81" s="18"/>
      <c r="FZ81" s="18"/>
      <c r="GB81" s="18"/>
      <c r="GC81" s="481"/>
      <c r="GD81" s="8"/>
      <c r="GE81" s="8"/>
      <c r="GF81" s="8"/>
      <c r="GG81" s="8"/>
      <c r="GI81" s="18"/>
      <c r="GJ81" s="18"/>
      <c r="GK81" s="18"/>
      <c r="GL81" s="18"/>
      <c r="GM81" s="18"/>
      <c r="GN81" s="18"/>
      <c r="GO81" s="18"/>
      <c r="GP81" s="18"/>
    </row>
    <row r="82" spans="1:198" ht="15.6" x14ac:dyDescent="0.3">
      <c r="A82" s="62" t="s">
        <v>33</v>
      </c>
      <c r="B82" s="223"/>
      <c r="C82" s="63" t="str">
        <f t="shared" si="761"/>
        <v>SPRI</v>
      </c>
      <c r="D82" s="63"/>
      <c r="E82" s="63"/>
      <c r="F82" s="63"/>
      <c r="G82" s="56"/>
      <c r="H82" s="209">
        <f>TBFavrundet</f>
        <v>79</v>
      </c>
      <c r="I82" s="65">
        <f>COUNTA(O82:AD82)</f>
        <v>2</v>
      </c>
      <c r="J82" s="228">
        <f>SUM(O82:AD82)</f>
        <v>21</v>
      </c>
      <c r="K82" s="119">
        <f>Seilareal/Depl^0.667/K$7</f>
        <v>1.0257147453225364</v>
      </c>
      <c r="L82" s="119">
        <f>Seilareal/Lwl/Lwl/L$7</f>
        <v>0.8851029082774049</v>
      </c>
      <c r="M82" s="95">
        <f>RiggF</f>
        <v>0.86666666666666681</v>
      </c>
      <c r="N82" s="265">
        <f>StHfaktor</f>
        <v>0.99790131553475481</v>
      </c>
      <c r="O82" s="147"/>
      <c r="P82" s="147"/>
      <c r="Q82" s="147"/>
      <c r="R82" s="147"/>
      <c r="S82" s="147"/>
      <c r="T82" s="169">
        <v>7</v>
      </c>
      <c r="U82" s="169">
        <v>14</v>
      </c>
      <c r="V82" s="147"/>
      <c r="W82" s="147"/>
      <c r="X82" s="147"/>
      <c r="Y82" s="147"/>
      <c r="Z82" s="147"/>
      <c r="AA82" s="147"/>
      <c r="AB82" s="147"/>
      <c r="AC82" s="147"/>
      <c r="AD82" s="147"/>
      <c r="AE82" s="260">
        <f t="shared" si="752"/>
        <v>5.9</v>
      </c>
      <c r="AF82" s="375">
        <f t="shared" ref="AF82" si="767" xml:space="preserve"> AF81</f>
        <v>0</v>
      </c>
      <c r="AG82" s="377"/>
      <c r="AH82" s="375">
        <f t="shared" ref="AH82" si="768" xml:space="preserve"> AH81</f>
        <v>0</v>
      </c>
      <c r="AI82" s="377"/>
      <c r="AJ82" s="295" t="str">
        <f t="shared" si="755"/>
        <v>Lystb</v>
      </c>
      <c r="AK82" s="47">
        <f>VLOOKUP(AJ82,Skrogform!$1:$1048576,3,FALSE)</f>
        <v>0.98</v>
      </c>
      <c r="AL82" s="66">
        <f t="shared" ref="AL82:AT82" si="769">AL81</f>
        <v>6.66</v>
      </c>
      <c r="AM82" s="66">
        <f t="shared" si="769"/>
        <v>6</v>
      </c>
      <c r="AN82" s="66">
        <f t="shared" si="769"/>
        <v>1.92</v>
      </c>
      <c r="AO82" s="66">
        <f t="shared" si="769"/>
        <v>1.3</v>
      </c>
      <c r="AP82" s="66">
        <f t="shared" si="769"/>
        <v>2.56</v>
      </c>
      <c r="AQ82" s="66">
        <f t="shared" si="769"/>
        <v>0.9</v>
      </c>
      <c r="AR82" s="66">
        <f t="shared" si="769"/>
        <v>0.26</v>
      </c>
      <c r="AS82" s="284">
        <f t="shared" si="769"/>
        <v>10</v>
      </c>
      <c r="AT82" s="284">
        <f t="shared" si="769"/>
        <v>70</v>
      </c>
      <c r="AU82" s="284">
        <f t="shared" ref="AU82:AV82" si="770">AU81</f>
        <v>0</v>
      </c>
      <c r="AV82" s="284">
        <f t="shared" si="770"/>
        <v>0</v>
      </c>
      <c r="AW82" s="284"/>
      <c r="AX82" s="284">
        <f>AX81</f>
        <v>0</v>
      </c>
      <c r="AY82" s="68"/>
      <c r="AZ82" s="68"/>
      <c r="BA82" s="289"/>
      <c r="BB82" s="68"/>
      <c r="BC82" s="179"/>
      <c r="BD82" s="68"/>
      <c r="BE82" s="68"/>
      <c r="BF82" s="67" t="str">
        <f t="shared" ref="BF82:BH82" si="771" xml:space="preserve"> BF81</f>
        <v>Seilrett</v>
      </c>
      <c r="BG82" s="295">
        <f t="shared" si="771"/>
        <v>3</v>
      </c>
      <c r="BH82" s="295">
        <f t="shared" si="771"/>
        <v>33</v>
      </c>
      <c r="BI82" s="47">
        <f>IF((BF82="Fast"),(1.006248-(0.06415*((BH82/100*SQRT(BG82))/POWER(AP82,(1/3))))),1)</f>
        <v>1</v>
      </c>
      <c r="BJ82" s="61"/>
      <c r="BK82" s="61"/>
      <c r="BM82" s="51">
        <f t="shared" si="759"/>
        <v>0</v>
      </c>
      <c r="BN82" s="51">
        <f t="shared" si="759"/>
        <v>0</v>
      </c>
      <c r="BO82" s="51">
        <f t="shared" si="759"/>
        <v>0</v>
      </c>
      <c r="BP82" s="51">
        <f t="shared" si="759"/>
        <v>0</v>
      </c>
      <c r="BQ82" s="51">
        <f t="shared" si="759"/>
        <v>0</v>
      </c>
      <c r="BR82" s="51">
        <f t="shared" si="759"/>
        <v>7</v>
      </c>
      <c r="BS82" s="52">
        <f>IF(COUNT(P82:T82)&gt;1,MINA(P82:T82)*BS$9,0)</f>
        <v>0</v>
      </c>
      <c r="BT82" s="88">
        <f t="shared" si="760"/>
        <v>11.200000000000001</v>
      </c>
      <c r="BU82" s="88">
        <f t="shared" si="760"/>
        <v>0</v>
      </c>
      <c r="BV82" s="88">
        <f t="shared" si="760"/>
        <v>0</v>
      </c>
      <c r="BW82" s="88">
        <f t="shared" si="760"/>
        <v>0</v>
      </c>
      <c r="BX82" s="88">
        <f t="shared" si="760"/>
        <v>0</v>
      </c>
      <c r="BY82" s="88">
        <f t="shared" si="760"/>
        <v>0</v>
      </c>
      <c r="BZ82" s="88">
        <f t="shared" si="760"/>
        <v>0</v>
      </c>
      <c r="CA82" s="88">
        <f t="shared" si="760"/>
        <v>0</v>
      </c>
      <c r="CB82" s="88">
        <f t="shared" si="760"/>
        <v>0</v>
      </c>
      <c r="CC82" s="88">
        <f t="shared" si="760"/>
        <v>0</v>
      </c>
      <c r="CD82" s="103">
        <f>SUM(BM82:CC82)</f>
        <v>18.200000000000003</v>
      </c>
      <c r="CE82" s="52"/>
      <c r="CF82" s="107">
        <f>J82</f>
        <v>21</v>
      </c>
      <c r="CG82" s="104">
        <f>CD82/CF82</f>
        <v>0.86666666666666681</v>
      </c>
      <c r="CH82" s="53">
        <f>Seilareal/Lwl/Lwl</f>
        <v>0.58333333333333337</v>
      </c>
      <c r="CI82" s="119">
        <f>Seilareal/Depl^0.667/K$7</f>
        <v>1.0257147453225364</v>
      </c>
      <c r="CJ82" s="53">
        <f>Seilareal/Lwl/Lwl/SApRS1</f>
        <v>0.8851029082774049</v>
      </c>
      <c r="CK82" s="209"/>
      <c r="CL82" s="209">
        <f>(ROUND(TBF/CL$6,3)*CL$6)*CL$4</f>
        <v>79</v>
      </c>
      <c r="CM82" s="110">
        <f t="shared" si="234"/>
        <v>0.79235060884671815</v>
      </c>
      <c r="CN82" s="64">
        <f>IF(SeilBeregnet=0,"-",(SeilBeregnet)^(1/2)*StHfaktor/(Depl+DeplTillegg/1000+Vann/1000+Diesel/1000*0.84)^(1/3))</f>
        <v>3.034964357667068</v>
      </c>
      <c r="CO82" s="64">
        <f t="shared" si="203"/>
        <v>1.8157298807917437</v>
      </c>
      <c r="CP82" s="64">
        <f t="shared" si="204"/>
        <v>1.5650845800732873</v>
      </c>
      <c r="CQ82" s="110">
        <f t="shared" si="205"/>
        <v>0.99790131553475481</v>
      </c>
      <c r="CR82" s="172" t="str">
        <f>IF(CS82=0,"-",IF(CH82="TBF","-",CR$7*CS82))</f>
        <v>-</v>
      </c>
      <c r="CS82" s="162"/>
      <c r="CT82" s="172" t="str">
        <f>IF(CU82=0,"-",IF(CL82="TBF","-",CT$7*CU82))</f>
        <v>-</v>
      </c>
      <c r="CU82" s="164"/>
      <c r="CV82" s="195" t="s">
        <v>145</v>
      </c>
      <c r="CW82" s="64" t="s">
        <v>111</v>
      </c>
      <c r="CX82" s="64" t="s">
        <v>111</v>
      </c>
      <c r="CY82" s="64" t="s">
        <v>111</v>
      </c>
      <c r="CZ82" s="154" t="s">
        <v>111</v>
      </c>
      <c r="DA82" s="64">
        <f t="shared" si="392"/>
        <v>2.2109125593033214</v>
      </c>
      <c r="DB82" s="49">
        <f t="shared" si="393"/>
        <v>14.573991031390134</v>
      </c>
      <c r="DC82" s="50">
        <f>DB$7*IF(DB82&lt;DB$5,-0.04,IF(DB82&lt;DB$5*1.1,-0.03,IF(DB82&lt;DB$5*1.2,-0.02,IF(DB82&lt;DB$5*1.3,-0.01,0))))</f>
        <v>0</v>
      </c>
      <c r="DE82" s="110">
        <f>IF(SeilBeregnet=0,"-",DE$7*(DG:DG+DE$6)*DL:DL*PropF+ErfaringsF+Dyp_F)</f>
        <v>0.78738443366677824</v>
      </c>
      <c r="DF82" s="144" t="str">
        <f>IF($DQ82=0,"-",(DE82-$DO82)*100)</f>
        <v>-</v>
      </c>
      <c r="DG82" s="110">
        <f>SUM(DH82:DK82)^DG$3+DG$7</f>
        <v>4.9811272701212328</v>
      </c>
      <c r="DH82" s="136">
        <f>IF(SeilBeregnet=0,DH81,(SeilBeregnet^0.5/(Depl^0.3333))^DH$3*DH$7)</f>
        <v>3.1186692169023154</v>
      </c>
      <c r="DI82" s="136">
        <f>IF(SeilBeregnet=0,DI81,(SeilBeregnet^0.5/Lwl)^DI$3*DI$7)</f>
        <v>0</v>
      </c>
      <c r="DJ82" s="136">
        <f>IF(SeilBeregnet=0,DJ81,(0.1*Loa/Depl^0.3333)^DJ$3*DJ$7)</f>
        <v>0</v>
      </c>
      <c r="DK82" s="136">
        <f>IF(SeilBeregnet=0,DK81,((Loa)/Bredde)^DK$3*DK$7)</f>
        <v>1.8624580532189174</v>
      </c>
      <c r="DL82" s="110">
        <f>IF(SeilBeregnet=0,DL81,(Lwl)^DL$3)</f>
        <v>1.5650845800732873</v>
      </c>
      <c r="DM82" s="136">
        <f>IF(SeilBeregnet=0,DM81,(Dypg/Loa)^DM$3*5*DM$7)</f>
        <v>2.2090450153584196</v>
      </c>
      <c r="DO82" s="110">
        <f t="shared" si="344"/>
        <v>0.8085210294354267</v>
      </c>
      <c r="DP82" s="110">
        <f t="shared" si="396"/>
        <v>0.77079972286113463</v>
      </c>
      <c r="DR82" s="110">
        <f t="shared" si="397"/>
        <v>0.80860394557410564</v>
      </c>
      <c r="DS82" s="125" t="str">
        <f>IF($DQ82=0,"-",DR82-$DO82)</f>
        <v>-</v>
      </c>
      <c r="DT82" s="110">
        <f>IF(SeilBeregnet=0,"-",DT$7*(DT$4*DV82*DW82*DX82*PropF+DT$6)+ErfaringsF+Dyp_F)</f>
        <v>0.79463095006923268</v>
      </c>
      <c r="DU82" s="125" t="str">
        <f>IF($DQ82=0,"-",DT82-$DO82)</f>
        <v>-</v>
      </c>
      <c r="DV82" s="110">
        <f>IF(SeilBeregnet=0,DV81,SeilBeregnet^0.5/Depl^0.33333)</f>
        <v>3.1185812709913461</v>
      </c>
      <c r="DW82" s="110">
        <f>IF(SeilBeregnet=0,DW81,Lwl^0.3333)</f>
        <v>1.8170120679720481</v>
      </c>
      <c r="DX82" s="110">
        <f>IF(SeilBeregnet=0,DX81,((Loa+Lwl)/Bredde)^DX$3)</f>
        <v>1.6024449516353962</v>
      </c>
      <c r="DZ82" s="110">
        <f>IF(SeilBeregnet=0,"-",DZ$7*(DZ$4*EB82*EC82*ED82*PropF+DZ$6)+ErfaringsF+Dyp_F)</f>
        <v>0.80949892062254603</v>
      </c>
      <c r="EB82" s="110">
        <f>IF(SeilBeregnet=0,EB81,SeilBeregnet^0.5/Depl^0.33333)</f>
        <v>3.1185812709913461</v>
      </c>
      <c r="EC82" s="110">
        <f>IF(SeilBeregnet=0,EC81,Lwl^EC$3)</f>
        <v>1.8171097400544527</v>
      </c>
      <c r="ED82" s="110">
        <f>IF(SeilBeregnet=0,ED81,((Loa+Lwl)/Bredde)^ED$3)</f>
        <v>1.8750672763232756</v>
      </c>
      <c r="EE82" s="110">
        <f>IF(SeilBeregnet=0,"-",EE$7*(EE$4*EG82+EE$6)*EJ82*PropF+ErfaringsF+Dyp_F)</f>
        <v>0.78843324746566901</v>
      </c>
      <c r="EG82" s="110">
        <f>IF(SeilBeregnet=0,EG81,(EH82*EI82)^EG$3)</f>
        <v>4.9973548139647805</v>
      </c>
      <c r="EH82" s="110">
        <f>IF(SeilBeregnet=0,EH81,SeilBeregnet^0.5/Depl^0.33333)</f>
        <v>3.1185812709913461</v>
      </c>
      <c r="EI82" s="110">
        <f>IF(SeilBeregnet=0,EI81,((Loa+Lwl)/Bredde)^EI$3)</f>
        <v>1.6024449516353962</v>
      </c>
      <c r="EJ82" s="110">
        <f>IF(SeilBeregnet=0,EJ81,Lwl^EJ$3)</f>
        <v>1.5650845800732873</v>
      </c>
      <c r="EK82" s="110">
        <f>IF(SeilBeregnet=0,"-",EK$7*(EK$4*EM:EM+EK$6)*EP:EP*PropF+ErfaringsF+Dyp_F)</f>
        <v>0.78837961663483558</v>
      </c>
      <c r="EM82" s="110">
        <f>IF(SeilBeregnet=0,EM81,(EN:EN*EO:EO)^EM$3)</f>
        <v>1.7869038580334169</v>
      </c>
      <c r="EN82" s="110">
        <f>IF(SeilBeregnet=0,EN81,SeilBeregnet^0.5/Depl^0.33333)</f>
        <v>3.1185812709913461</v>
      </c>
      <c r="EO82" s="110">
        <f>IF(SeilBeregnet=0,EO81,((Loa+Lwl)/Bredde/6)^EO$3)</f>
        <v>1.0238711517816879</v>
      </c>
      <c r="EP82" s="110">
        <f>IF(SeilBeregnet=0,EP81,(Lwl*0.7+Loa*0.3)^EP$3)</f>
        <v>1.5778397502725663</v>
      </c>
      <c r="EQ82" s="110">
        <f>IF(SeilBeregnet=0,"-",EQ$7*(ES:ES+EQ$6)*EV:EV*PropF+ErfaringsF+Dyp_F)</f>
        <v>0.77152173577982597</v>
      </c>
      <c r="ES82" s="110">
        <f>(ET:ET*EU:EU)^ES$3</f>
        <v>1.7869290537499993</v>
      </c>
      <c r="ET82" s="110">
        <f>IF(SeilBeregnet=0,ET81,SeilBeregnet^0.5/Depl^0.3333)</f>
        <v>3.1186692169023154</v>
      </c>
      <c r="EU82" s="110">
        <f>IF(SeilBeregnet=0,EU81,((Loa+Lwl)/Bredde/6)^EU$3)</f>
        <v>1.0238711517816879</v>
      </c>
      <c r="EV82" s="110">
        <f>IF(SeilBeregnet=0,EV81,(Lwl*0.7+Loa*0.3)^EV$3)</f>
        <v>1.5778397502725663</v>
      </c>
      <c r="EW82" s="110">
        <f>IF(SeilBeregnet=0,"-",EW$7*(EY:EY+EW$6)*FB:FB*PropF+ErfaringsF+Dyp_F)</f>
        <v>0.79949384631416853</v>
      </c>
      <c r="EX82" s="144" t="str">
        <f>IF($DQ82=0,"-",(EW82-$DO82)*100)</f>
        <v>-</v>
      </c>
      <c r="EY82" s="110">
        <f>(EZ:EZ*FA:FA)^EY$3</f>
        <v>3.2693387865354167</v>
      </c>
      <c r="EZ82" s="136">
        <f>IF(SeilBeregnet=0,EZ81,(SeilBeregnet^0.5/(Depl^0.3333))^EZ$3)</f>
        <v>3.1186692169023154</v>
      </c>
      <c r="FA82" s="136">
        <f>IF(SeilBeregnet=0,FA81,((Loa+Lwl)/Bredde/6)^FA$3)</f>
        <v>1.0483121354507603</v>
      </c>
      <c r="FB82" s="110">
        <f>IF(SeilBeregnet=0,FB81,(Lwl*0.07+Loa*0.03)^FB$3)</f>
        <v>0.88728449610628435</v>
      </c>
      <c r="FC82" s="110">
        <f>IF(SeilBeregnet=0,"-",FC$7*(FE:FE+FC$6)*FI:FI*PropF+ErfaringsF+Dyp_F)</f>
        <v>0.78011101057937615</v>
      </c>
      <c r="FD82" s="144" t="str">
        <f>IF($DQ82=0,"-",(FC82-$DO82)*100)</f>
        <v>-</v>
      </c>
      <c r="FE82" s="110">
        <f>(FF:FF+FG:FG+FH:FH)^FE$3+FE$7</f>
        <v>5.1921515703779511</v>
      </c>
      <c r="FF82" s="136">
        <f>IF(SeilBeregnet=0,FF81,(SeilBeregnet^0.5/(Depl^0.3333))^FF$3)</f>
        <v>3.1186692169023154</v>
      </c>
      <c r="FG82" s="136">
        <f>IF(SeilBeregnet=0,FG81,(SeilBeregnet^0.5/Lwl*FG$7)^FG$3)</f>
        <v>0.71102430025671814</v>
      </c>
      <c r="FH82" s="136">
        <f>IF(SeilBeregnet=0,FH81,((Loa)/Bredde)^FH$3*FH$7)</f>
        <v>1.8624580532189174</v>
      </c>
      <c r="FI82" s="110">
        <f>IF(SeilBeregnet=0,FI81,(Lwl)^FI$3)</f>
        <v>1.5650845800732873</v>
      </c>
      <c r="FJ82" s="110">
        <f>IF(SeilBeregnet=0,"-",FJ$7*(FL:FL+FJ$6)*FO:FO*PropF+ErfaringsF+Dyp_F)</f>
        <v>0.79824996580194252</v>
      </c>
      <c r="FK82" s="144" t="str">
        <f>IF($DQ82=0,"-",(FJ82-$DO82)*100)</f>
        <v>-</v>
      </c>
      <c r="FL82" s="110">
        <f>(FM:FM*FN:FN)^FL$3</f>
        <v>5.8083905983456523</v>
      </c>
      <c r="FM82" s="136">
        <f>IF(SeilBeregnet=0,FM81,(SeilBeregnet^0.5/(Depl^0.3333))^FM$3)</f>
        <v>3.1186692169023154</v>
      </c>
      <c r="FN82" s="136">
        <f>IF(SeilBeregnet=0,FN81,(Loa/Bredde)^FN$3)</f>
        <v>1.8624580532189174</v>
      </c>
      <c r="FO82" s="110">
        <f>IF(SeilBeregnet=0,FO81,Lwl^FO$3)</f>
        <v>1.5650845800732873</v>
      </c>
      <c r="FP82" s="129">
        <v>1.02</v>
      </c>
      <c r="FQ82">
        <v>0.95</v>
      </c>
      <c r="FR82" s="64">
        <f>IF(SeilBeregnet=0,"-",0.06*2.43^(1/2)*(SeilBeregnet^(1/2)/Depl^(1/3)+(Loa/Bredde)^(1/2)+5*(Dypg/Loa)^(1/2))*Lwl^(1/4)*FQ82)</f>
        <v>0.99988303442035709</v>
      </c>
      <c r="FS82" s="479"/>
      <c r="FT82" s="18"/>
      <c r="FU82" s="481"/>
      <c r="FV82" s="504"/>
      <c r="FW82" s="18"/>
      <c r="FX82" s="18"/>
      <c r="FY82" s="18"/>
      <c r="FZ82" s="18"/>
      <c r="GB82" s="18"/>
      <c r="GC82" s="481"/>
      <c r="GD82" s="8"/>
      <c r="GE82" s="8"/>
      <c r="GF82" s="8"/>
      <c r="GG82" s="8"/>
      <c r="GI82" s="18"/>
      <c r="GJ82" s="18"/>
      <c r="GK82" s="18"/>
      <c r="GL82" s="18"/>
      <c r="GM82" s="18"/>
      <c r="GN82" s="18"/>
      <c r="GO82" s="18"/>
      <c r="GP82" s="18"/>
    </row>
    <row r="83" spans="1:198" ht="15.6" x14ac:dyDescent="0.3">
      <c r="A83" s="62" t="str">
        <f>A$3</f>
        <v>TBF 2023-55h</v>
      </c>
      <c r="B83" s="223"/>
      <c r="C83" s="63" t="str">
        <f t="shared" si="761"/>
        <v>SPRI</v>
      </c>
      <c r="D83" s="63"/>
      <c r="E83" s="63"/>
      <c r="F83" s="63"/>
      <c r="G83" s="56"/>
      <c r="H83" s="209" t="e">
        <f>TBFavrundet</f>
        <v>#VALUE!</v>
      </c>
      <c r="I83" s="65">
        <f>COUNTA(O83:AD83)</f>
        <v>0</v>
      </c>
      <c r="J83" s="228">
        <f>SUM(O83:AD83)</f>
        <v>0</v>
      </c>
      <c r="K83" s="119">
        <f>Seilareal/Depl^0.667/K$7</f>
        <v>0</v>
      </c>
      <c r="L83" s="119">
        <f>Seilareal/Lwl/Lwl/L$7</f>
        <v>0</v>
      </c>
      <c r="M83" s="95" t="e">
        <f>RiggF</f>
        <v>#DIV/0!</v>
      </c>
      <c r="N83" s="265" t="str">
        <f>StHfaktor</f>
        <v>-</v>
      </c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260">
        <f t="shared" si="752"/>
        <v>5.9</v>
      </c>
      <c r="AF83" s="375">
        <f t="shared" ref="AF83" si="772" xml:space="preserve"> AF82</f>
        <v>0</v>
      </c>
      <c r="AG83" s="377"/>
      <c r="AH83" s="375">
        <f t="shared" ref="AH83" si="773" xml:space="preserve"> AH82</f>
        <v>0</v>
      </c>
      <c r="AI83" s="377"/>
      <c r="AJ83" s="295" t="str">
        <f t="shared" si="755"/>
        <v>Lystb</v>
      </c>
      <c r="AK83" s="47">
        <f>VLOOKUP(AJ83,Skrogform!$1:$1048576,3,FALSE)</f>
        <v>0.98</v>
      </c>
      <c r="AL83" s="66">
        <f t="shared" ref="AL83:AT83" si="774">AL82</f>
        <v>6.66</v>
      </c>
      <c r="AM83" s="66">
        <f t="shared" si="774"/>
        <v>6</v>
      </c>
      <c r="AN83" s="66">
        <f t="shared" si="774"/>
        <v>1.92</v>
      </c>
      <c r="AO83" s="66">
        <f t="shared" si="774"/>
        <v>1.3</v>
      </c>
      <c r="AP83" s="66">
        <f t="shared" si="774"/>
        <v>2.56</v>
      </c>
      <c r="AQ83" s="66">
        <f t="shared" si="774"/>
        <v>0.9</v>
      </c>
      <c r="AR83" s="66">
        <f t="shared" si="774"/>
        <v>0.26</v>
      </c>
      <c r="AS83" s="284">
        <f t="shared" si="774"/>
        <v>10</v>
      </c>
      <c r="AT83" s="284">
        <f t="shared" si="774"/>
        <v>70</v>
      </c>
      <c r="AU83" s="284">
        <f t="shared" ref="AU83:AV83" si="775">AU82</f>
        <v>0</v>
      </c>
      <c r="AV83" s="284">
        <f t="shared" si="775"/>
        <v>0</v>
      </c>
      <c r="AW83" s="284"/>
      <c r="AX83" s="284">
        <f>AX82</f>
        <v>0</v>
      </c>
      <c r="AY83" s="68"/>
      <c r="AZ83" s="68"/>
      <c r="BA83" s="289"/>
      <c r="BB83" s="68"/>
      <c r="BC83" s="179"/>
      <c r="BD83" s="68"/>
      <c r="BE83" s="68"/>
      <c r="BF83" s="67" t="str">
        <f t="shared" ref="BF83:BH83" si="776" xml:space="preserve"> BF82</f>
        <v>Seilrett</v>
      </c>
      <c r="BG83" s="295">
        <f t="shared" si="776"/>
        <v>3</v>
      </c>
      <c r="BH83" s="295">
        <f t="shared" si="776"/>
        <v>33</v>
      </c>
      <c r="BI83" s="47">
        <f>IF((BF83="Fast"),(1.006248-(0.06415*((BH83/100*SQRT(BG83))/POWER(AP83,(1/3))))),1)</f>
        <v>1</v>
      </c>
      <c r="BJ83" s="61"/>
      <c r="BK83" s="61"/>
      <c r="BM83" s="51">
        <f t="shared" si="759"/>
        <v>0</v>
      </c>
      <c r="BN83" s="51">
        <f t="shared" si="759"/>
        <v>0</v>
      </c>
      <c r="BO83" s="51">
        <f t="shared" si="759"/>
        <v>0</v>
      </c>
      <c r="BP83" s="51">
        <f t="shared" si="759"/>
        <v>0</v>
      </c>
      <c r="BQ83" s="51">
        <f t="shared" si="759"/>
        <v>0</v>
      </c>
      <c r="BR83" s="51">
        <f t="shared" si="759"/>
        <v>0</v>
      </c>
      <c r="BS83" s="52">
        <f>IF(COUNT(P83:T83)&gt;1,MINA(P83:T83)*BS$9,0)</f>
        <v>0</v>
      </c>
      <c r="BT83" s="88">
        <f t="shared" si="760"/>
        <v>0</v>
      </c>
      <c r="BU83" s="88">
        <f t="shared" si="760"/>
        <v>0</v>
      </c>
      <c r="BV83" s="88">
        <f t="shared" si="760"/>
        <v>0</v>
      </c>
      <c r="BW83" s="88">
        <f t="shared" si="760"/>
        <v>0</v>
      </c>
      <c r="BX83" s="88">
        <f t="shared" si="760"/>
        <v>0</v>
      </c>
      <c r="BY83" s="88">
        <f t="shared" si="760"/>
        <v>0</v>
      </c>
      <c r="BZ83" s="88">
        <f t="shared" si="760"/>
        <v>0</v>
      </c>
      <c r="CA83" s="88">
        <f t="shared" si="760"/>
        <v>0</v>
      </c>
      <c r="CB83" s="88">
        <f t="shared" si="760"/>
        <v>0</v>
      </c>
      <c r="CC83" s="88">
        <f t="shared" si="760"/>
        <v>0</v>
      </c>
      <c r="CD83" s="103">
        <f>SUM(BM83:CC83)</f>
        <v>0</v>
      </c>
      <c r="CE83" s="52"/>
      <c r="CF83" s="107">
        <f>J83</f>
        <v>0</v>
      </c>
      <c r="CG83" s="104" t="e">
        <f>CD83/CF83</f>
        <v>#DIV/0!</v>
      </c>
      <c r="CH83" s="53">
        <f>Seilareal/Lwl/Lwl</f>
        <v>0</v>
      </c>
      <c r="CI83" s="119">
        <f>Seilareal/Depl^0.667/K$7</f>
        <v>0</v>
      </c>
      <c r="CJ83" s="53">
        <f>Seilareal/Lwl/Lwl/SApRS1</f>
        <v>0</v>
      </c>
      <c r="CK83" s="209"/>
      <c r="CL83" s="209" t="e">
        <f>(ROUND(TBF/CL$6,3)*CL$6)*CL$4</f>
        <v>#VALUE!</v>
      </c>
      <c r="CM83" s="110" t="str">
        <f t="shared" si="234"/>
        <v>-</v>
      </c>
      <c r="CN83" s="64" t="str">
        <f>IF(SeilBeregnet=0,"-",(SeilBeregnet)^(1/2)*StHfaktor/(Depl+DeplTillegg/1000+Vann/1000+Diesel/1000*0.84)^(1/3))</f>
        <v>-</v>
      </c>
      <c r="CO83" s="64" t="str">
        <f t="shared" si="203"/>
        <v>-</v>
      </c>
      <c r="CP83" s="64" t="str">
        <f t="shared" si="204"/>
        <v>-</v>
      </c>
      <c r="CQ83" s="110" t="str">
        <f t="shared" si="205"/>
        <v>-</v>
      </c>
      <c r="CR83" s="172" t="str">
        <f>IF(CS83=0,"-",IF(CH83="TBF","-",CR$7*CS83))</f>
        <v>-</v>
      </c>
      <c r="CS83" s="162"/>
      <c r="CT83" s="172" t="str">
        <f>IF(CU83=0,"-",IF(CL83="TBF","-",CT$7*CU83))</f>
        <v>-</v>
      </c>
      <c r="CU83" s="164"/>
      <c r="CV83" s="195" t="s">
        <v>145</v>
      </c>
      <c r="CW83" s="64" t="s">
        <v>111</v>
      </c>
      <c r="CX83" s="64" t="s">
        <v>111</v>
      </c>
      <c r="CY83" s="64" t="s">
        <v>111</v>
      </c>
      <c r="CZ83" s="154" t="s">
        <v>111</v>
      </c>
      <c r="DA83" s="64" t="str">
        <f t="shared" si="392"/>
        <v>-</v>
      </c>
      <c r="DB83" s="49">
        <f t="shared" si="393"/>
        <v>14.573991031390134</v>
      </c>
      <c r="DC83" s="50">
        <f>DB$7*IF(DB83&lt;DB$5,-0.04,IF(DB83&lt;DB$5*1.1,-0.03,IF(DB83&lt;DB$5*1.2,-0.02,IF(DB83&lt;DB$5*1.3,-0.01,0))))</f>
        <v>0</v>
      </c>
      <c r="DE83" s="110" t="str">
        <f>IF(SeilBeregnet=0,"-",DE$7*(DG:DG+DE$6)*DL:DL*PropF+ErfaringsF+Dyp_F)</f>
        <v>-</v>
      </c>
      <c r="DF83" s="144" t="str">
        <f>IF($DQ83=0,"-",(DE83-$DO83)*100)</f>
        <v>-</v>
      </c>
      <c r="DG83" s="110">
        <f>SUM(DH83:DK83)^DG$3+DG$7</f>
        <v>4.9811272701212328</v>
      </c>
      <c r="DH83" s="136">
        <f>IF(SeilBeregnet=0,DH82,(SeilBeregnet^0.5/(Depl^0.3333))^DH$3*DH$7)</f>
        <v>3.1186692169023154</v>
      </c>
      <c r="DI83" s="136">
        <f>IF(SeilBeregnet=0,DI82,(SeilBeregnet^0.5/Lwl)^DI$3*DI$7)</f>
        <v>0</v>
      </c>
      <c r="DJ83" s="136">
        <f>IF(SeilBeregnet=0,DJ82,(0.1*Loa/Depl^0.3333)^DJ$3*DJ$7)</f>
        <v>0</v>
      </c>
      <c r="DK83" s="136">
        <f>IF(SeilBeregnet=0,DK82,((Loa)/Bredde)^DK$3*DK$7)</f>
        <v>1.8624580532189174</v>
      </c>
      <c r="DL83" s="110">
        <f>IF(SeilBeregnet=0,DL82,(Lwl)^DL$3)</f>
        <v>1.5650845800732873</v>
      </c>
      <c r="DM83" s="136">
        <f>IF(SeilBeregnet=0,DM82,(Dypg/Loa)^DM$3*5*DM$7)</f>
        <v>2.2090450153584196</v>
      </c>
      <c r="DO83" s="110" t="str">
        <f t="shared" si="344"/>
        <v>-</v>
      </c>
      <c r="DP83" s="110" t="str">
        <f t="shared" si="396"/>
        <v>-</v>
      </c>
      <c r="DR83" s="110" t="str">
        <f t="shared" si="397"/>
        <v>-</v>
      </c>
      <c r="DS83" s="125" t="str">
        <f>IF($DQ83=0,"-",DR83-$DO83)</f>
        <v>-</v>
      </c>
      <c r="DT83" s="110" t="str">
        <f>IF(SeilBeregnet=0,"-",DT$7*(DT$4*DV83*DW83*DX83*PropF+DT$6)+ErfaringsF+Dyp_F)</f>
        <v>-</v>
      </c>
      <c r="DU83" s="125" t="str">
        <f>IF($DQ83=0,"-",DT83-$DO83)</f>
        <v>-</v>
      </c>
      <c r="DV83" s="110">
        <f>IF(SeilBeregnet=0,DV82,SeilBeregnet^0.5/Depl^0.33333)</f>
        <v>3.1185812709913461</v>
      </c>
      <c r="DW83" s="110">
        <f>IF(SeilBeregnet=0,DW82,Lwl^0.3333)</f>
        <v>1.8170120679720481</v>
      </c>
      <c r="DX83" s="110">
        <f>IF(SeilBeregnet=0,DX82,((Loa+Lwl)/Bredde)^DX$3)</f>
        <v>1.6024449516353962</v>
      </c>
      <c r="DZ83" s="110" t="str">
        <f>IF(SeilBeregnet=0,"-",DZ$7*(DZ$4*EB83*EC83*ED83*PropF+DZ$6)+ErfaringsF+Dyp_F)</f>
        <v>-</v>
      </c>
      <c r="EB83" s="110">
        <f>IF(SeilBeregnet=0,EB82,SeilBeregnet^0.5/Depl^0.33333)</f>
        <v>3.1185812709913461</v>
      </c>
      <c r="EC83" s="110">
        <f>IF(SeilBeregnet=0,EC82,Lwl^EC$3)</f>
        <v>1.8171097400544527</v>
      </c>
      <c r="ED83" s="110">
        <f>IF(SeilBeregnet=0,ED82,((Loa+Lwl)/Bredde)^ED$3)</f>
        <v>1.8750672763232756</v>
      </c>
      <c r="EE83" s="110" t="str">
        <f>IF(SeilBeregnet=0,"-",EE$7*(EE$4*EG83+EE$6)*EJ83*PropF+ErfaringsF+Dyp_F)</f>
        <v>-</v>
      </c>
      <c r="EG83" s="110">
        <f>IF(SeilBeregnet=0,EG82,(EH83*EI83)^EG$3)</f>
        <v>4.9973548139647805</v>
      </c>
      <c r="EH83" s="110">
        <f>IF(SeilBeregnet=0,EH82,SeilBeregnet^0.5/Depl^0.33333)</f>
        <v>3.1185812709913461</v>
      </c>
      <c r="EI83" s="110">
        <f>IF(SeilBeregnet=0,EI82,((Loa+Lwl)/Bredde)^EI$3)</f>
        <v>1.6024449516353962</v>
      </c>
      <c r="EJ83" s="110">
        <f>IF(SeilBeregnet=0,EJ82,Lwl^EJ$3)</f>
        <v>1.5650845800732873</v>
      </c>
      <c r="EK83" s="110" t="str">
        <f>IF(SeilBeregnet=0,"-",EK$7*(EK$4*EM:EM+EK$6)*EP:EP*PropF+ErfaringsF+Dyp_F)</f>
        <v>-</v>
      </c>
      <c r="EM83" s="110">
        <f>IF(SeilBeregnet=0,EM82,(EN:EN*EO:EO)^EM$3)</f>
        <v>1.7869038580334169</v>
      </c>
      <c r="EN83" s="110">
        <f>IF(SeilBeregnet=0,EN82,SeilBeregnet^0.5/Depl^0.33333)</f>
        <v>3.1185812709913461</v>
      </c>
      <c r="EO83" s="110">
        <f>IF(SeilBeregnet=0,EO82,((Loa+Lwl)/Bredde/6)^EO$3)</f>
        <v>1.0238711517816879</v>
      </c>
      <c r="EP83" s="110">
        <f>IF(SeilBeregnet=0,EP82,(Lwl*0.7+Loa*0.3)^EP$3)</f>
        <v>1.5778397502725663</v>
      </c>
      <c r="EQ83" s="110" t="str">
        <f>IF(SeilBeregnet=0,"-",EQ$7*(ES:ES+EQ$6)*EV:EV*PropF+ErfaringsF+Dyp_F)</f>
        <v>-</v>
      </c>
      <c r="ES83" s="110">
        <f>(ET:ET*EU:EU)^ES$3</f>
        <v>1.7869290537499993</v>
      </c>
      <c r="ET83" s="110">
        <f>IF(SeilBeregnet=0,ET82,SeilBeregnet^0.5/Depl^0.3333)</f>
        <v>3.1186692169023154</v>
      </c>
      <c r="EU83" s="110">
        <f>IF(SeilBeregnet=0,EU82,((Loa+Lwl)/Bredde/6)^EU$3)</f>
        <v>1.0238711517816879</v>
      </c>
      <c r="EV83" s="110">
        <f>IF(SeilBeregnet=0,EV82,(Lwl*0.7+Loa*0.3)^EV$3)</f>
        <v>1.5778397502725663</v>
      </c>
      <c r="EW83" s="110" t="str">
        <f>IF(SeilBeregnet=0,"-",EW$7*(EY:EY+EW$6)*FB:FB*PropF+ErfaringsF+Dyp_F)</f>
        <v>-</v>
      </c>
      <c r="EX83" s="144" t="str">
        <f>IF($DQ83=0,"-",(EW83-$DO83)*100)</f>
        <v>-</v>
      </c>
      <c r="EY83" s="110">
        <f>(EZ:EZ*FA:FA)^EY$3</f>
        <v>3.2693387865354167</v>
      </c>
      <c r="EZ83" s="136">
        <f>IF(SeilBeregnet=0,EZ82,(SeilBeregnet^0.5/(Depl^0.3333))^EZ$3)</f>
        <v>3.1186692169023154</v>
      </c>
      <c r="FA83" s="136">
        <f>IF(SeilBeregnet=0,FA82,((Loa+Lwl)/Bredde/6)^FA$3)</f>
        <v>1.0483121354507603</v>
      </c>
      <c r="FB83" s="110">
        <f>IF(SeilBeregnet=0,FB82,(Lwl*0.07+Loa*0.03)^FB$3)</f>
        <v>0.88728449610628435</v>
      </c>
      <c r="FC83" s="110" t="str">
        <f>IF(SeilBeregnet=0,"-",FC$7*(FE:FE+FC$6)*FI:FI*PropF+ErfaringsF+Dyp_F)</f>
        <v>-</v>
      </c>
      <c r="FD83" s="144" t="str">
        <f>IF($DQ83=0,"-",(FC83-$DO83)*100)</f>
        <v>-</v>
      </c>
      <c r="FE83" s="110">
        <f>(FF:FF+FG:FG+FH:FH)^FE$3+FE$7</f>
        <v>5.1921515703779511</v>
      </c>
      <c r="FF83" s="136">
        <f>IF(SeilBeregnet=0,FF82,(SeilBeregnet^0.5/(Depl^0.3333))^FF$3)</f>
        <v>3.1186692169023154</v>
      </c>
      <c r="FG83" s="136">
        <f>IF(SeilBeregnet=0,FG82,(SeilBeregnet^0.5/Lwl*FG$7)^FG$3)</f>
        <v>0.71102430025671814</v>
      </c>
      <c r="FH83" s="136">
        <f>IF(SeilBeregnet=0,FH82,((Loa)/Bredde)^FH$3*FH$7)</f>
        <v>1.8624580532189174</v>
      </c>
      <c r="FI83" s="110">
        <f>IF(SeilBeregnet=0,FI82,(Lwl)^FI$3)</f>
        <v>1.5650845800732873</v>
      </c>
      <c r="FJ83" s="110" t="str">
        <f>IF(SeilBeregnet=0,"-",FJ$7*(FL:FL+FJ$6)*FO:FO*PropF+ErfaringsF+Dyp_F)</f>
        <v>-</v>
      </c>
      <c r="FK83" s="144" t="str">
        <f>IF($DQ83=0,"-",(FJ83-$DO83)*100)</f>
        <v>-</v>
      </c>
      <c r="FL83" s="110">
        <f>(FM:FM*FN:FN)^FL$3</f>
        <v>5.8083905983456523</v>
      </c>
      <c r="FM83" s="136">
        <f>IF(SeilBeregnet=0,FM82,(SeilBeregnet^0.5/(Depl^0.3333))^FM$3)</f>
        <v>3.1186692169023154</v>
      </c>
      <c r="FN83" s="136">
        <f>IF(SeilBeregnet=0,FN82,(Loa/Bredde)^FN$3)</f>
        <v>1.8624580532189174</v>
      </c>
      <c r="FO83" s="110">
        <f>IF(SeilBeregnet=0,FO82,Lwl^FO$3)</f>
        <v>1.5650845800732873</v>
      </c>
      <c r="FQ83">
        <v>0.95</v>
      </c>
      <c r="FR83" s="64" t="str">
        <f>IF(SeilBeregnet=0,"-",0.06*2.43^(1/2)*(SeilBeregnet^(1/2)/Depl^(1/3)+(Loa/Bredde)^(1/2)+5*(Dypg/Loa)^(1/2))*Lwl^(1/4)*FQ83)</f>
        <v>-</v>
      </c>
      <c r="FS83" s="479"/>
      <c r="FT83" s="18"/>
      <c r="FU83" s="481"/>
      <c r="FV83" s="504"/>
      <c r="FW83" s="18"/>
      <c r="FX83" s="18"/>
      <c r="FY83" s="18"/>
      <c r="FZ83" s="18"/>
      <c r="GB83" s="18"/>
      <c r="GC83" s="481"/>
      <c r="GD83" s="8"/>
      <c r="GE83" s="8"/>
      <c r="GF83" s="8"/>
      <c r="GG83" s="8"/>
      <c r="GI83" s="18"/>
      <c r="GJ83" s="18"/>
      <c r="GK83" s="18"/>
      <c r="GL83" s="18"/>
      <c r="GM83" s="18"/>
      <c r="GN83" s="18"/>
      <c r="GO83" s="18"/>
      <c r="GP83" s="18"/>
    </row>
    <row r="84" spans="1:198" ht="15.6" x14ac:dyDescent="0.3">
      <c r="A84" s="54" t="s">
        <v>774</v>
      </c>
      <c r="B84" s="223">
        <f t="shared" si="199"/>
        <v>59.055118110236215</v>
      </c>
      <c r="C84" s="55" t="s">
        <v>41</v>
      </c>
      <c r="D84" s="55"/>
      <c r="E84" s="55"/>
      <c r="F84" s="55"/>
      <c r="G84" s="56"/>
      <c r="H84" s="209"/>
      <c r="I84" s="126" t="str">
        <f>A84</f>
        <v>Mingary</v>
      </c>
      <c r="J84" s="229"/>
      <c r="K84" s="119"/>
      <c r="L84" s="119"/>
      <c r="M84" s="95"/>
      <c r="N84" s="265"/>
      <c r="O84" s="169">
        <v>28</v>
      </c>
      <c r="P84" s="169"/>
      <c r="Q84" s="169">
        <v>31</v>
      </c>
      <c r="R84" s="169"/>
      <c r="S84" s="169"/>
      <c r="T84" s="169">
        <v>28</v>
      </c>
      <c r="U84" s="169"/>
      <c r="V84" s="169"/>
      <c r="W84" s="169"/>
      <c r="X84" s="169"/>
      <c r="Y84" s="169"/>
      <c r="Z84" s="169"/>
      <c r="AA84" s="169"/>
      <c r="AB84" s="169">
        <v>60</v>
      </c>
      <c r="AC84" s="169"/>
      <c r="AD84" s="169">
        <v>28</v>
      </c>
      <c r="AE84" s="263">
        <f>Loa*1.2</f>
        <v>21.599999999999998</v>
      </c>
      <c r="AF84" s="296"/>
      <c r="AG84" s="377"/>
      <c r="AH84" s="296"/>
      <c r="AI84" s="377"/>
      <c r="AJ84" s="296" t="s">
        <v>240</v>
      </c>
      <c r="AK84" s="47">
        <f>VLOOKUP(AJ84,Skrogform!$1:$1048576,3,FALSE)</f>
        <v>1</v>
      </c>
      <c r="AL84" s="57">
        <v>18</v>
      </c>
      <c r="AM84" s="57">
        <v>12.5</v>
      </c>
      <c r="AN84" s="57">
        <v>4.0999999999999996</v>
      </c>
      <c r="AO84" s="57">
        <v>2.7</v>
      </c>
      <c r="AP84" s="57">
        <v>28</v>
      </c>
      <c r="AQ84" s="57">
        <v>10</v>
      </c>
      <c r="AR84" s="57"/>
      <c r="AS84" s="281"/>
      <c r="AT84" s="282">
        <f>AS84*7</f>
        <v>0</v>
      </c>
      <c r="AU84" s="281">
        <v>500</v>
      </c>
      <c r="AV84" s="281">
        <f>ROUND(Depl*10,-2)</f>
        <v>300</v>
      </c>
      <c r="AW84" s="270">
        <f>Depl+Diesel/1000+Vann/1000</f>
        <v>28.8</v>
      </c>
      <c r="AX84" s="281"/>
      <c r="AY84" s="98">
        <f>Bredde/(Loa+Lwl)*2</f>
        <v>0.26885245901639343</v>
      </c>
      <c r="AZ84" s="98">
        <f>(Kjøl+Ballast)/Depl</f>
        <v>0.35714285714285715</v>
      </c>
      <c r="BA84" s="288">
        <f>BA$7*((Depl-Kjøl-Ballast-VektMotor/1000-VektAnnet/1000)/Loa/Lwl/Bredde)</f>
        <v>0.84425228254403462</v>
      </c>
      <c r="BB84" s="98">
        <f>BB$7*(Depl/Loa/Lwl/Lwl)</f>
        <v>0.74757308952380963</v>
      </c>
      <c r="BC84" s="178">
        <f>BC$7*(Depl/Loa/Lwl/Bredde)</f>
        <v>0.84246550522648112</v>
      </c>
      <c r="BD84" s="98">
        <f>BD$7*Bredde/(Loa+Lwl)*2</f>
        <v>0.76695222986074374</v>
      </c>
      <c r="BE84" s="98">
        <f>BE$7*(Dypg/Lwl)</f>
        <v>1.1814260869565218</v>
      </c>
      <c r="BF84" s="58" t="s">
        <v>42</v>
      </c>
      <c r="BG84" s="296">
        <v>3</v>
      </c>
      <c r="BH84" s="296">
        <v>40</v>
      </c>
      <c r="BI84" s="47">
        <f t="shared" si="663"/>
        <v>0.99161170113510466</v>
      </c>
      <c r="BJ84" s="61"/>
      <c r="BK84" s="61"/>
      <c r="BM84" s="214"/>
      <c r="BN84" s="214" t="str">
        <f>$A84</f>
        <v>Mingary</v>
      </c>
      <c r="BO84" s="10"/>
      <c r="BP84" s="10"/>
      <c r="BQ84" s="10"/>
      <c r="BR84" s="10"/>
      <c r="BS84" s="52"/>
      <c r="BT84" s="214" t="str">
        <f>$A84</f>
        <v>Mingary</v>
      </c>
      <c r="BU84" s="10"/>
      <c r="BV84" s="10"/>
      <c r="BW84" s="10"/>
      <c r="BX84" s="10"/>
      <c r="BY84" s="10"/>
      <c r="BZ84" s="10"/>
      <c r="CA84" s="10"/>
      <c r="CB84" s="10"/>
      <c r="CC84" s="10"/>
      <c r="CD84" s="214"/>
      <c r="CE84" s="10"/>
      <c r="CF84" s="214" t="str">
        <f>$A84</f>
        <v>Mingary</v>
      </c>
      <c r="CG84" s="212"/>
      <c r="CH84" s="212"/>
      <c r="CI84" s="119"/>
      <c r="CJ84" s="212"/>
      <c r="CK84" s="208"/>
      <c r="CL84" s="208" t="s">
        <v>26</v>
      </c>
      <c r="CM84" s="110" t="str">
        <f t="shared" si="690"/>
        <v>-</v>
      </c>
      <c r="CN84" s="64" t="str">
        <f>IF(SeilBeregnet=0,"-",(SeilBeregnet)^(1/2)*StHfaktor/(Depl+DeplTillegg/1000+Vann/1000+Diesel/1000*0.84)^(1/3))</f>
        <v>-</v>
      </c>
      <c r="CO84" s="64" t="str">
        <f t="shared" si="659"/>
        <v>-</v>
      </c>
      <c r="CP84" s="64" t="str">
        <f t="shared" si="660"/>
        <v>-</v>
      </c>
      <c r="CQ84" s="110" t="str">
        <f t="shared" si="661"/>
        <v>-</v>
      </c>
      <c r="CR84" s="172" t="str">
        <f t="shared" si="691"/>
        <v>-</v>
      </c>
      <c r="CS84" s="162"/>
      <c r="CT84" s="172" t="str">
        <f t="shared" si="692"/>
        <v>-</v>
      </c>
      <c r="CU84" s="164"/>
      <c r="CV84" s="195" t="s">
        <v>145</v>
      </c>
      <c r="CW84" s="30" t="s">
        <v>26</v>
      </c>
      <c r="CX84" s="30" t="s">
        <v>26</v>
      </c>
      <c r="CY84" s="30" t="s">
        <v>26</v>
      </c>
      <c r="CZ84" s="153">
        <v>2022</v>
      </c>
      <c r="DA84" s="64" t="str">
        <f t="shared" si="664"/>
        <v>-</v>
      </c>
      <c r="DB84" s="49">
        <f t="shared" si="665"/>
        <v>15.340909090909092</v>
      </c>
      <c r="DC84" s="50">
        <f t="shared" si="666"/>
        <v>0</v>
      </c>
      <c r="DE84" s="110" t="str">
        <f>IF(SeilBeregnet=0,"-",DE$7*(DG:DG+DE$6)*DL:DL*PropF+ErfaringsF+Dyp_F)</f>
        <v>-</v>
      </c>
      <c r="DF84" s="144" t="str">
        <f t="shared" si="732"/>
        <v>-</v>
      </c>
      <c r="DG84" s="110">
        <f t="shared" si="668"/>
        <v>6.0569658362788621</v>
      </c>
      <c r="DH84" s="136">
        <f>IF(SeilBeregnet=0,DH57,(SeilBeregnet^0.5/(Depl^0.3333))^DH$3*DH$7)</f>
        <v>4.1615522685864201</v>
      </c>
      <c r="DI84" s="136">
        <f>IF(SeilBeregnet=0,DI57,(SeilBeregnet^0.5/Lwl)^DI$3*DI$7)</f>
        <v>0</v>
      </c>
      <c r="DJ84" s="136">
        <f>IF(SeilBeregnet=0,DJ57,(0.1*Loa/Depl^0.3333)^DJ$3*DJ$7)</f>
        <v>0</v>
      </c>
      <c r="DK84" s="136">
        <f>IF(SeilBeregnet=0,DK57,((Loa)/Bredde)^DK$3*DK$7)</f>
        <v>1.8954135676924422</v>
      </c>
      <c r="DL84" s="110">
        <f>IF(SeilBeregnet=0,DL57,(Lwl)^DL$3)</f>
        <v>1.7223470599267343</v>
      </c>
      <c r="DM84" s="136">
        <f>IF(SeilBeregnet=0,DM57,(Dypg/Loa)^DM$3*5*DM$7)</f>
        <v>1.8995387394523999</v>
      </c>
      <c r="DO84" s="110" t="str">
        <f t="shared" si="669"/>
        <v>-</v>
      </c>
      <c r="DP84" s="110" t="str">
        <f t="shared" si="670"/>
        <v>-</v>
      </c>
      <c r="DR84" s="110" t="str">
        <f t="shared" si="671"/>
        <v>-</v>
      </c>
      <c r="DS84" s="125" t="str">
        <f t="shared" si="734"/>
        <v>-</v>
      </c>
      <c r="DT84" s="110" t="str">
        <f t="shared" si="673"/>
        <v>-</v>
      </c>
      <c r="DU84" s="125" t="str">
        <f t="shared" si="735"/>
        <v>-</v>
      </c>
      <c r="DV84" s="110">
        <f>IF(SeilBeregnet=0,DV57,SeilBeregnet^0.5/Depl^0.33333)</f>
        <v>4.1613328118449378</v>
      </c>
      <c r="DW84" s="110">
        <f>IF(SeilBeregnet=0,DW57,Lwl^0.3333)</f>
        <v>2.0644105728067443</v>
      </c>
      <c r="DX84" s="110">
        <f>IF(SeilBeregnet=0,DX57,((Loa+Lwl)/Bredde)^DX$3)</f>
        <v>1.6179011774099146</v>
      </c>
      <c r="DZ84" s="110" t="str">
        <f t="shared" si="675"/>
        <v>-</v>
      </c>
      <c r="EB84" s="110">
        <f>IF(SeilBeregnet=0,EB57,SeilBeregnet^0.5/Depl^0.33333)</f>
        <v>4.1613328118449378</v>
      </c>
      <c r="EC84" s="110">
        <f>IF(SeilBeregnet=0,EC57,Lwl^EC$3)</f>
        <v>2.0645452646139271</v>
      </c>
      <c r="ED84" s="110">
        <f>IF(SeilBeregnet=0,ED57,((Loa+Lwl)/Bredde)^ED$3)</f>
        <v>1.8992178984985733</v>
      </c>
      <c r="EE84" s="110" t="str">
        <f t="shared" si="676"/>
        <v>-</v>
      </c>
      <c r="EG84" s="110">
        <f>IF(SeilBeregnet=0,EG57,(EH84*EI84)^EG$3)</f>
        <v>6.7326252558784354</v>
      </c>
      <c r="EH84" s="110">
        <f>IF(SeilBeregnet=0,EH57,SeilBeregnet^0.5/Depl^0.33333)</f>
        <v>4.1613328118449378</v>
      </c>
      <c r="EI84" s="110">
        <f>IF(SeilBeregnet=0,EI57,((Loa+Lwl)/Bredde)^EI$3)</f>
        <v>1.6179011774099146</v>
      </c>
      <c r="EJ84" s="110">
        <f>IF(SeilBeregnet=0,EJ57,Lwl^EJ$3)</f>
        <v>1.7223470599267343</v>
      </c>
      <c r="EK84" s="110" t="str">
        <f>IF(SeilBeregnet=0,"-",EK$7*(EK$4*EM:EM+EK$6)*EP:EP*PropF+ErfaringsF+Dyp_F)</f>
        <v>-</v>
      </c>
      <c r="EM84" s="110">
        <f>IF(SeilBeregnet=0,EM57,(EN:EN*EO:EO)^EM$3)</f>
        <v>2.0740695457765685</v>
      </c>
      <c r="EN84" s="110">
        <f>IF(SeilBeregnet=0,EN57,SeilBeregnet^0.5/Depl^0.33333)</f>
        <v>4.1613328118449378</v>
      </c>
      <c r="EO84" s="110">
        <f>IF(SeilBeregnet=0,EO57,((Loa+Lwl)/Bredde/6)^EO$3)</f>
        <v>1.03374680065799</v>
      </c>
      <c r="EP84" s="110">
        <f>IF(SeilBeregnet=0,EP57,(Lwl*0.7+Loa*0.3)^EP$3)</f>
        <v>1.7354089054960848</v>
      </c>
      <c r="EQ84" s="110" t="str">
        <f>IF(SeilBeregnet=0,"-",EQ$7*(ES:ES+EQ$6)*EV:EV*PropF+ErfaringsF+Dyp_F)</f>
        <v>-</v>
      </c>
      <c r="ES84" s="110">
        <f>(ET:ET*EU:EU)^ES$3</f>
        <v>2.0741242352911775</v>
      </c>
      <c r="ET84" s="110">
        <f>IF(SeilBeregnet=0,ET57,SeilBeregnet^0.5/Depl^0.3333)</f>
        <v>4.1615522685864201</v>
      </c>
      <c r="EU84" s="110">
        <f>IF(SeilBeregnet=0,EU57,((Loa+Lwl)/Bredde/6)^EU$3)</f>
        <v>1.03374680065799</v>
      </c>
      <c r="EV84" s="110">
        <f>IF(SeilBeregnet=0,EV57,(Lwl*0.7+Loa*0.3)^EV$3)</f>
        <v>1.7354089054960848</v>
      </c>
      <c r="EW84" s="110" t="str">
        <f>IF(SeilBeregnet=0,"-",EW$7*(EY:EY+EW$6)*FB:FB*PropF+ErfaringsF+Dyp_F)</f>
        <v>-</v>
      </c>
      <c r="EX84" s="144" t="str">
        <f t="shared" si="736"/>
        <v>-</v>
      </c>
      <c r="EY84" s="110">
        <f>(EZ:EZ*FA:FA)^EY$3</f>
        <v>4.4471697877210801</v>
      </c>
      <c r="EZ84" s="136">
        <f>IF(SeilBeregnet=0,EZ57,(SeilBeregnet^0.5/(Depl^0.3333))^EZ$3)</f>
        <v>4.1615522685864201</v>
      </c>
      <c r="FA84" s="136">
        <f>IF(SeilBeregnet=0,FA57,((Loa+Lwl)/Bredde/6)^FA$3)</f>
        <v>1.0686324478706302</v>
      </c>
      <c r="FB84" s="110">
        <f>IF(SeilBeregnet=0,FB57,(Lwl*0.07+Loa*0.03)^FB$3)</f>
        <v>0.97589214366380161</v>
      </c>
      <c r="FC84" s="110" t="str">
        <f>IF(SeilBeregnet=0,"-",FC$7*(FE:FE+FC$6)*FI:FI*PropF+ErfaringsF+Dyp_F)</f>
        <v>-</v>
      </c>
      <c r="FD84" s="144" t="str">
        <f t="shared" si="737"/>
        <v>-</v>
      </c>
      <c r="FE84" s="110">
        <f>(FF:FF+FG:FG+FH:FH)^FE$3+FE$7</f>
        <v>6.4065829109388046</v>
      </c>
      <c r="FF84" s="136">
        <f>IF(SeilBeregnet=0,FF57,(SeilBeregnet^0.5/(Depl^0.3333))^FF$3)</f>
        <v>4.1615522685864201</v>
      </c>
      <c r="FG84" s="136">
        <f>IF(SeilBeregnet=0,FG57,(SeilBeregnet^0.5/Lwl*FG$7)^FG$3)</f>
        <v>0.84961707465994274</v>
      </c>
      <c r="FH84" s="136">
        <f>IF(SeilBeregnet=0,FH57,((Loa)/Bredde)^FH$3*FH$7)</f>
        <v>1.8954135676924422</v>
      </c>
      <c r="FI84" s="110">
        <f>IF(SeilBeregnet=0,FI57,(Lwl)^FI$3)</f>
        <v>1.7223470599267343</v>
      </c>
      <c r="FJ84" s="110" t="str">
        <f>IF(SeilBeregnet=0,"-",FJ$7*(FL:FL+FJ$6)*FO:FO*PropF+ErfaringsF+Dyp_F)</f>
        <v>-</v>
      </c>
      <c r="FK84" s="144" t="str">
        <f t="shared" si="738"/>
        <v>-</v>
      </c>
      <c r="FL84" s="110">
        <f>(FM:FM*FN:FN)^FL$3</f>
        <v>7.8878626325399628</v>
      </c>
      <c r="FM84" s="136">
        <f>IF(SeilBeregnet=0,FM57,(SeilBeregnet^0.5/(Depl^0.3333))^FM$3)</f>
        <v>4.1615522685864201</v>
      </c>
      <c r="FN84" s="136">
        <f>IF(SeilBeregnet=0,FN57,(Loa/Bredde)^FN$3)</f>
        <v>1.8954135676924422</v>
      </c>
      <c r="FO84" s="110">
        <f>IF(SeilBeregnet=0,FO57,Lwl^FO$3)</f>
        <v>1.7223470599267343</v>
      </c>
      <c r="FP84" s="569">
        <v>1.38</v>
      </c>
      <c r="FQ84" s="374">
        <v>1</v>
      </c>
      <c r="FR84" s="64" t="str">
        <f t="shared" si="739"/>
        <v>-</v>
      </c>
      <c r="FS84" s="480">
        <v>69</v>
      </c>
      <c r="FT84" s="59" t="s">
        <v>775</v>
      </c>
      <c r="FU84" s="475" t="s">
        <v>776</v>
      </c>
      <c r="FV84" s="542" t="s">
        <v>777</v>
      </c>
      <c r="FW84" s="59" t="s">
        <v>522</v>
      </c>
      <c r="FX84" s="59" t="s">
        <v>522</v>
      </c>
      <c r="FY84" s="59" t="s">
        <v>464</v>
      </c>
      <c r="FZ84" s="59" t="s">
        <v>522</v>
      </c>
      <c r="GB84" s="59" t="s">
        <v>522</v>
      </c>
      <c r="GC84" s="475" t="s">
        <v>522</v>
      </c>
      <c r="GD84" s="60" t="s">
        <v>522</v>
      </c>
      <c r="GE84" s="60" t="s">
        <v>522</v>
      </c>
      <c r="GF84" s="60" t="s">
        <v>522</v>
      </c>
      <c r="GG84" s="60" t="s">
        <v>522</v>
      </c>
      <c r="GI84" s="59" t="s">
        <v>234</v>
      </c>
      <c r="GJ84" s="59" t="s">
        <v>778</v>
      </c>
      <c r="GK84" s="59" t="s">
        <v>779</v>
      </c>
      <c r="GL84" s="59" t="s">
        <v>779</v>
      </c>
      <c r="GM84" s="59">
        <v>1929</v>
      </c>
      <c r="GN84" s="59" t="s">
        <v>470</v>
      </c>
      <c r="GO84" s="59" t="s">
        <v>477</v>
      </c>
      <c r="GP84" s="59" t="s">
        <v>522</v>
      </c>
    </row>
    <row r="85" spans="1:198" ht="15.6" x14ac:dyDescent="0.3">
      <c r="A85" s="62" t="s">
        <v>36</v>
      </c>
      <c r="B85" s="223"/>
      <c r="C85" s="63" t="str">
        <f>C84</f>
        <v>Bermuda</v>
      </c>
      <c r="D85" s="63"/>
      <c r="E85" s="63"/>
      <c r="F85" s="63"/>
      <c r="G85" s="56"/>
      <c r="H85" s="209">
        <f>TBFavrundet</f>
        <v>120</v>
      </c>
      <c r="I85" s="65">
        <f>COUNTA(O85:AD85)</f>
        <v>5</v>
      </c>
      <c r="J85" s="228">
        <f>SUM(O85:AD85)</f>
        <v>175</v>
      </c>
      <c r="K85" s="119">
        <f>Seilareal/Depl^0.667/K$7</f>
        <v>1.7333529452417287</v>
      </c>
      <c r="L85" s="119">
        <f>Seilareal/Lwl/Lwl/L$7</f>
        <v>1.6993975838926174</v>
      </c>
      <c r="M85" s="95">
        <f>RiggF</f>
        <v>0.8</v>
      </c>
      <c r="N85" s="265">
        <f>StHfaktor</f>
        <v>1.0707620420267241</v>
      </c>
      <c r="O85" s="169">
        <v>28</v>
      </c>
      <c r="P85" s="147"/>
      <c r="Q85" s="169">
        <v>31</v>
      </c>
      <c r="R85" s="147"/>
      <c r="S85" s="147"/>
      <c r="T85" s="169">
        <v>28</v>
      </c>
      <c r="U85" s="148"/>
      <c r="V85" s="148"/>
      <c r="W85" s="148"/>
      <c r="X85" s="148"/>
      <c r="Y85" s="147"/>
      <c r="Z85" s="147"/>
      <c r="AA85" s="147"/>
      <c r="AB85" s="169">
        <v>60</v>
      </c>
      <c r="AC85" s="147"/>
      <c r="AD85" s="169">
        <v>28</v>
      </c>
      <c r="AE85" s="260">
        <f t="shared" ref="AE85" si="777">AE84</f>
        <v>21.599999999999998</v>
      </c>
      <c r="AF85" s="375">
        <f t="shared" ref="AF85" si="778" xml:space="preserve"> AF84</f>
        <v>0</v>
      </c>
      <c r="AG85" s="377"/>
      <c r="AH85" s="375">
        <f t="shared" ref="AH85" si="779" xml:space="preserve"> AH84</f>
        <v>0</v>
      </c>
      <c r="AI85" s="377"/>
      <c r="AJ85" s="295" t="str">
        <f t="shared" ref="AJ85:AJ86" si="780" xml:space="preserve"> AJ84</f>
        <v>Meter</v>
      </c>
      <c r="AK85" s="47">
        <f>VLOOKUP(AJ85,Skrogform!$1:$1048576,3,FALSE)</f>
        <v>1</v>
      </c>
      <c r="AL85" s="66">
        <f t="shared" ref="AL85:AV85" si="781">AL84</f>
        <v>18</v>
      </c>
      <c r="AM85" s="66">
        <f t="shared" si="781"/>
        <v>12.5</v>
      </c>
      <c r="AN85" s="66">
        <f t="shared" si="781"/>
        <v>4.0999999999999996</v>
      </c>
      <c r="AO85" s="66">
        <f t="shared" si="781"/>
        <v>2.7</v>
      </c>
      <c r="AP85" s="66">
        <f t="shared" si="781"/>
        <v>28</v>
      </c>
      <c r="AQ85" s="66">
        <f t="shared" si="781"/>
        <v>10</v>
      </c>
      <c r="AR85" s="66">
        <f t="shared" si="781"/>
        <v>0</v>
      </c>
      <c r="AS85" s="284">
        <f t="shared" si="781"/>
        <v>0</v>
      </c>
      <c r="AT85" s="284">
        <f t="shared" si="781"/>
        <v>0</v>
      </c>
      <c r="AU85" s="284">
        <f t="shared" si="781"/>
        <v>500</v>
      </c>
      <c r="AV85" s="284">
        <f t="shared" si="781"/>
        <v>300</v>
      </c>
      <c r="AW85" s="284"/>
      <c r="AX85" s="284">
        <f>AX84</f>
        <v>0</v>
      </c>
      <c r="AY85" s="68"/>
      <c r="AZ85" s="68"/>
      <c r="BA85" s="289"/>
      <c r="BB85" s="68"/>
      <c r="BC85" s="179"/>
      <c r="BD85" s="68"/>
      <c r="BE85" s="68"/>
      <c r="BF85" s="67" t="str">
        <f t="shared" ref="BF85:BH85" si="782" xml:space="preserve"> BF84</f>
        <v>Fast</v>
      </c>
      <c r="BG85" s="295">
        <f t="shared" si="782"/>
        <v>3</v>
      </c>
      <c r="BH85" s="295">
        <f t="shared" si="782"/>
        <v>40</v>
      </c>
      <c r="BI85" s="47">
        <f t="shared" si="663"/>
        <v>0.99161170113510466</v>
      </c>
      <c r="BJ85" s="61"/>
      <c r="BK85" s="61"/>
      <c r="BM85" s="51">
        <f t="shared" ref="BM85:BM86" si="783">IF(O85=0,0,O85*BM$9)</f>
        <v>8.4</v>
      </c>
      <c r="BN85" s="51">
        <f t="shared" ref="BN85:BN86" si="784">IF(P85=0,0,P85*BN$9)</f>
        <v>0</v>
      </c>
      <c r="BO85" s="51">
        <f t="shared" ref="BO85:BO86" si="785">IF(Q85=0,0,Q85*BO$9)</f>
        <v>31</v>
      </c>
      <c r="BP85" s="51">
        <f t="shared" ref="BP85:BP86" si="786">IF(R85=0,0,R85*BP$9)</f>
        <v>0</v>
      </c>
      <c r="BQ85" s="51">
        <f t="shared" ref="BQ85:BQ86" si="787">IF(S85=0,0,S85*BQ$9)</f>
        <v>0</v>
      </c>
      <c r="BR85" s="51">
        <f t="shared" ref="BR85:BR86" si="788">IF(T85=0,0,T85*BR$9)</f>
        <v>28</v>
      </c>
      <c r="BS85" s="52">
        <f>IF(COUNT(P85:T85)&gt;1,MINA(P85:T85)*BS$9,0)</f>
        <v>-8.4</v>
      </c>
      <c r="BT85" s="88">
        <f t="shared" ref="BT85:BT86" si="789">IF(U85=0,0,U85*BT$9)</f>
        <v>0</v>
      </c>
      <c r="BU85" s="88">
        <f t="shared" ref="BU85:BU86" si="790">IF(V85=0,0,V85*BU$9)</f>
        <v>0</v>
      </c>
      <c r="BV85" s="88">
        <f t="shared" ref="BV85:BV86" si="791">IF(W85=0,0,W85*BV$9)</f>
        <v>0</v>
      </c>
      <c r="BW85" s="88">
        <f t="shared" ref="BW85:BW86" si="792">IF(X85=0,0,X85*BW$9)</f>
        <v>0</v>
      </c>
      <c r="BX85" s="88">
        <f t="shared" ref="BX85:BX86" si="793">IF(Y85=0,0,Y85*BX$9)</f>
        <v>0</v>
      </c>
      <c r="BY85" s="88">
        <f t="shared" ref="BY85:BY86" si="794">IF(Z85=0,0,Z85*BY$9)</f>
        <v>0</v>
      </c>
      <c r="BZ85" s="88">
        <f t="shared" ref="BZ85:BZ86" si="795">IF(AA85=0,0,AA85*BZ$9)</f>
        <v>0</v>
      </c>
      <c r="CA85" s="88">
        <f t="shared" ref="CA85:CA86" si="796">IF(AB85=0,0,AB85*CA$9)</f>
        <v>60</v>
      </c>
      <c r="CB85" s="88">
        <f t="shared" ref="CB85:CB86" si="797">IF(AC85=0,0,AC85*CB$9)</f>
        <v>0</v>
      </c>
      <c r="CC85" s="88">
        <f t="shared" ref="CC85:CC86" si="798">IF(AD85=0,0,AD85*CC$9)</f>
        <v>21</v>
      </c>
      <c r="CD85" s="103">
        <f>SUM(BM85:CC85)</f>
        <v>140</v>
      </c>
      <c r="CE85" s="52"/>
      <c r="CF85" s="107">
        <f>J85</f>
        <v>175</v>
      </c>
      <c r="CG85" s="104">
        <f>CD85/CF85</f>
        <v>0.8</v>
      </c>
      <c r="CH85" s="53">
        <f>Seilareal/Lwl/Lwl</f>
        <v>1.1200000000000001</v>
      </c>
      <c r="CI85" s="119">
        <f>Seilareal/Depl^0.667/K$7</f>
        <v>1.7333529452417287</v>
      </c>
      <c r="CJ85" s="53">
        <f>Seilareal/Lwl/Lwl/SApRS1</f>
        <v>1.6993975838926174</v>
      </c>
      <c r="CK85" s="209"/>
      <c r="CL85" s="209">
        <f>(ROUND(TBF/CL$6,3)*CL$6)*CL$4</f>
        <v>120</v>
      </c>
      <c r="CM85" s="110">
        <f t="shared" si="690"/>
        <v>1.2022797878967759</v>
      </c>
      <c r="CN85" s="64">
        <f>IF(SeilBeregnet=0,"-",(SeilBeregnet)^(1/2)*StHfaktor/(Depl+DeplTillegg/1000+Vann/1000+Diesel/1000*0.84)^(1/3))</f>
        <v>4.1260149294058603</v>
      </c>
      <c r="CO85" s="64">
        <f t="shared" si="659"/>
        <v>1.928603690528967</v>
      </c>
      <c r="CP85" s="64">
        <f t="shared" si="660"/>
        <v>1.8803015465431969</v>
      </c>
      <c r="CQ85" s="110">
        <f t="shared" si="661"/>
        <v>1.0707620420267241</v>
      </c>
      <c r="CR85" s="172" t="str">
        <f t="shared" si="691"/>
        <v>-</v>
      </c>
      <c r="CS85" s="163">
        <f>CS84</f>
        <v>0</v>
      </c>
      <c r="CT85" s="172" t="str">
        <f t="shared" si="692"/>
        <v>-</v>
      </c>
      <c r="CU85" s="163">
        <f>CU84</f>
        <v>0</v>
      </c>
      <c r="CV85" s="195" t="s">
        <v>145</v>
      </c>
      <c r="CW85" s="64" t="s">
        <v>111</v>
      </c>
      <c r="CX85" s="64" t="s">
        <v>111</v>
      </c>
      <c r="CY85" s="64" t="s">
        <v>111</v>
      </c>
      <c r="CZ85" s="154" t="s">
        <v>111</v>
      </c>
      <c r="DA85" s="64">
        <f t="shared" si="664"/>
        <v>2.2108070141955345</v>
      </c>
      <c r="DB85" s="49">
        <f t="shared" si="665"/>
        <v>15.340909090909092</v>
      </c>
      <c r="DC85" s="50">
        <f t="shared" si="666"/>
        <v>0</v>
      </c>
      <c r="DE85" s="110">
        <f>IF(SeilBeregnet=0,"-",DE$7*(DG:DG+DE$6)*DL:DL*PropF+ErfaringsF+Dyp_F)</f>
        <v>1.1284457937089092</v>
      </c>
      <c r="DF85" s="144" t="str">
        <f t="shared" si="732"/>
        <v>-</v>
      </c>
      <c r="DG85" s="110">
        <f t="shared" si="668"/>
        <v>5.9922535608784475</v>
      </c>
      <c r="DH85" s="136">
        <f>IF(SeilBeregnet=0,DH84,(SeilBeregnet^0.5/(Depl^0.3333))^DH$3*DH$7)</f>
        <v>3.8969626735697123</v>
      </c>
      <c r="DI85" s="136">
        <f>IF(SeilBeregnet=0,DI84,(SeilBeregnet^0.5/Lwl)^DI$3*DI$7)</f>
        <v>0</v>
      </c>
      <c r="DJ85" s="136">
        <f>IF(SeilBeregnet=0,DJ84,(0.1*Loa/Depl^0.3333)^DJ$3*DJ$7)</f>
        <v>0</v>
      </c>
      <c r="DK85" s="136">
        <f>IF(SeilBeregnet=0,DK84,((Loa)/Bredde)^DK$3*DK$7)</f>
        <v>2.0952908873087348</v>
      </c>
      <c r="DL85" s="110">
        <f>IF(SeilBeregnet=0,DL84,(Lwl)^DL$3)</f>
        <v>1.8803015465431969</v>
      </c>
      <c r="DM85" s="136">
        <f>IF(SeilBeregnet=0,DM84,(Dypg/Loa)^DM$3*5*DM$7)</f>
        <v>1.9364916731037085</v>
      </c>
      <c r="DO85" s="110">
        <f t="shared" si="669"/>
        <v>1.2022797878967759</v>
      </c>
      <c r="DP85" s="110">
        <f t="shared" si="670"/>
        <v>1.1627386875190393</v>
      </c>
      <c r="DR85" s="110">
        <f t="shared" si="671"/>
        <v>1.1335377606905659</v>
      </c>
      <c r="DS85" s="125" t="str">
        <f t="shared" si="734"/>
        <v>-</v>
      </c>
      <c r="DT85" s="110">
        <f t="shared" si="673"/>
        <v>1.1535857899532134</v>
      </c>
      <c r="DU85" s="125" t="str">
        <f t="shared" si="735"/>
        <v>-</v>
      </c>
      <c r="DV85" s="110">
        <f>IF(SeilBeregnet=0,DV84,SeilBeregnet^0.5/Depl^0.33333)</f>
        <v>3.8965731287427761</v>
      </c>
      <c r="DW85" s="110">
        <f>IF(SeilBeregnet=0,DW84,Lwl^0.3333)</f>
        <v>2.3205990351333203</v>
      </c>
      <c r="DX85" s="110">
        <f>IF(SeilBeregnet=0,DX84,((Loa+Lwl)/Bredde)^DX$3)</f>
        <v>1.6515015881278676</v>
      </c>
      <c r="DZ85" s="110">
        <f t="shared" si="675"/>
        <v>1.1443979146040251</v>
      </c>
      <c r="EB85" s="110">
        <f>IF(SeilBeregnet=0,EB84,SeilBeregnet^0.5/Depl^0.33333)</f>
        <v>3.8965731287427761</v>
      </c>
      <c r="EC85" s="110">
        <f>IF(SeilBeregnet=0,EC84,Lwl^EC$3)</f>
        <v>2.3207748778988528</v>
      </c>
      <c r="ED85" s="110">
        <f>IF(SeilBeregnet=0,ED84,((Loa+Lwl)/Bredde)^ED$3)</f>
        <v>1.9519841055529688</v>
      </c>
      <c r="EE85" s="110">
        <f t="shared" si="676"/>
        <v>1.1322897658126521</v>
      </c>
      <c r="EG85" s="110">
        <f>IF(SeilBeregnet=0,EG84,(EH85*EI85)^EG$3)</f>
        <v>6.4351967103750685</v>
      </c>
      <c r="EH85" s="110">
        <f>IF(SeilBeregnet=0,EH84,SeilBeregnet^0.5/Depl^0.33333)</f>
        <v>3.8965731287427761</v>
      </c>
      <c r="EI85" s="110">
        <f>IF(SeilBeregnet=0,EI84,((Loa+Lwl)/Bredde)^EI$3)</f>
        <v>1.6515015881278676</v>
      </c>
      <c r="EJ85" s="110">
        <f>IF(SeilBeregnet=0,EJ84,Lwl^EJ$3)</f>
        <v>1.8803015465431969</v>
      </c>
      <c r="EK85" s="110">
        <f>IF(SeilBeregnet=0,"-",EK$7*(EK$4*EM:EM+EK$6)*EP:EP*PropF+ErfaringsF+Dyp_F)</f>
        <v>1.1407914227673477</v>
      </c>
      <c r="EM85" s="110">
        <f>IF(SeilBeregnet=0,EM84,(EN:EN*EO:EO)^EM$3)</f>
        <v>2.0277387806525886</v>
      </c>
      <c r="EN85" s="110">
        <f>IF(SeilBeregnet=0,EN84,SeilBeregnet^0.5/Depl^0.33333)</f>
        <v>3.8965731287427761</v>
      </c>
      <c r="EO85" s="110">
        <f>IF(SeilBeregnet=0,EO84,((Loa+Lwl)/Bredde/6)^EO$3)</f>
        <v>1.0552155513860686</v>
      </c>
      <c r="EP85" s="110">
        <f>IF(SeilBeregnet=0,EP84,(Lwl*0.7+Loa*0.3)^EP$3)</f>
        <v>1.9394969901396613</v>
      </c>
      <c r="EQ85" s="110">
        <f>IF(SeilBeregnet=0,"-",EQ$7*(ES:ES+EQ$6)*EV:EV*PropF+ErfaringsF+Dyp_F)</f>
        <v>1.0671916782593289</v>
      </c>
      <c r="ES85" s="110">
        <f>(ET:ET*EU:EU)^ES$3</f>
        <v>2.0278401357902434</v>
      </c>
      <c r="ET85" s="110">
        <f>IF(SeilBeregnet=0,ET84,SeilBeregnet^0.5/Depl^0.3333)</f>
        <v>3.8969626735697123</v>
      </c>
      <c r="EU85" s="110">
        <f>IF(SeilBeregnet=0,EU84,((Loa+Lwl)/Bredde/6)^EU$3)</f>
        <v>1.0552155513860686</v>
      </c>
      <c r="EV85" s="110">
        <f>IF(SeilBeregnet=0,EV84,(Lwl*0.7+Loa*0.3)^EV$3)</f>
        <v>1.9394969901396613</v>
      </c>
      <c r="EW85" s="110">
        <f>IF(SeilBeregnet=0,"-",EW$7*(EY:EY+EW$6)*FB:FB*PropF+ErfaringsF+Dyp_F)</f>
        <v>1.172358926102161</v>
      </c>
      <c r="EX85" s="144" t="str">
        <f t="shared" si="736"/>
        <v>-</v>
      </c>
      <c r="EY85" s="110">
        <f>(EZ:EZ*FA:FA)^EY$3</f>
        <v>4.3391894517512908</v>
      </c>
      <c r="EZ85" s="136">
        <f>IF(SeilBeregnet=0,EZ84,(SeilBeregnet^0.5/(Depl^0.3333))^EZ$3)</f>
        <v>3.8969626735697123</v>
      </c>
      <c r="FA85" s="136">
        <f>IF(SeilBeregnet=0,FA84,((Loa+Lwl)/Bredde/6)^FA$3)</f>
        <v>1.1134798598870048</v>
      </c>
      <c r="FB85" s="110">
        <f>IF(SeilBeregnet=0,FB84,(Lwl*0.07+Loa*0.03)^FB$3)</f>
        <v>1.0906593076378306</v>
      </c>
      <c r="FC85" s="110">
        <f>IF(SeilBeregnet=0,"-",FC$7*(FE:FE+FC$6)*FI:FI*PropF+ErfaringsF+Dyp_F)</f>
        <v>1.1525163368716995</v>
      </c>
      <c r="FD85" s="144" t="str">
        <f t="shared" si="737"/>
        <v>-</v>
      </c>
      <c r="FE85" s="110">
        <f>(FF:FF+FG:FG+FH:FH)^FE$3+FE$7</f>
        <v>6.4388263261743859</v>
      </c>
      <c r="FF85" s="136">
        <f>IF(SeilBeregnet=0,FF84,(SeilBeregnet^0.5/(Depl^0.3333))^FF$3)</f>
        <v>3.8969626735697123</v>
      </c>
      <c r="FG85" s="136">
        <f>IF(SeilBeregnet=0,FG84,(SeilBeregnet^0.5/Lwl*FG$7)^FG$3)</f>
        <v>0.94657276529593859</v>
      </c>
      <c r="FH85" s="136">
        <f>IF(SeilBeregnet=0,FH84,((Loa)/Bredde)^FH$3*FH$7)</f>
        <v>2.0952908873087348</v>
      </c>
      <c r="FI85" s="110">
        <f>IF(SeilBeregnet=0,FI84,(Lwl)^FI$3)</f>
        <v>1.8803015465431969</v>
      </c>
      <c r="FJ85" s="110">
        <f>IF(SeilBeregnet=0,"-",FJ$7*(FL:FL+FJ$6)*FO:FO*PropF+ErfaringsF+Dyp_F)</f>
        <v>1.1794899790919968</v>
      </c>
      <c r="FK85" s="144" t="str">
        <f t="shared" si="738"/>
        <v>-</v>
      </c>
      <c r="FL85" s="110">
        <f>(FM:FM*FN:FN)^FL$3</f>
        <v>8.1652703781129023</v>
      </c>
      <c r="FM85" s="136">
        <f>IF(SeilBeregnet=0,FM84,(SeilBeregnet^0.5/(Depl^0.3333))^FM$3)</f>
        <v>3.8969626735697123</v>
      </c>
      <c r="FN85" s="136">
        <f>IF(SeilBeregnet=0,FN84,(Loa/Bredde)^FN$3)</f>
        <v>2.0952908873087348</v>
      </c>
      <c r="FO85" s="110">
        <f>IF(SeilBeregnet=0,FO84,Lwl^FO$3)</f>
        <v>1.8803015465431969</v>
      </c>
      <c r="FQ85" s="374">
        <v>1</v>
      </c>
      <c r="FR85" s="64">
        <f t="shared" si="739"/>
        <v>1.3943206048074639</v>
      </c>
      <c r="FS85" s="479"/>
      <c r="FT85" s="18"/>
      <c r="FU85" s="481"/>
      <c r="FV85" s="504"/>
      <c r="FW85" s="18"/>
      <c r="FX85" s="18"/>
      <c r="FY85" s="18"/>
      <c r="FZ85" s="18"/>
      <c r="GB85" s="18"/>
      <c r="GC85" s="481"/>
      <c r="GD85" s="8"/>
      <c r="GE85" s="8"/>
      <c r="GF85" s="8"/>
      <c r="GG85" s="8"/>
      <c r="GI85" s="18"/>
      <c r="GJ85" s="18"/>
      <c r="GK85" s="18"/>
      <c r="GL85" s="18"/>
      <c r="GM85" s="18"/>
      <c r="GN85" s="18"/>
      <c r="GO85" s="18"/>
      <c r="GP85" s="18"/>
    </row>
    <row r="86" spans="1:198" ht="15.6" x14ac:dyDescent="0.3">
      <c r="A86" s="62"/>
      <c r="B86" s="223"/>
      <c r="C86" s="63" t="str">
        <f t="shared" ref="C86" si="799">C85</f>
        <v>Bermuda</v>
      </c>
      <c r="D86" s="63"/>
      <c r="E86" s="63"/>
      <c r="F86" s="63"/>
      <c r="G86" s="56"/>
      <c r="H86" s="209" t="e">
        <f>TBFavrundet</f>
        <v>#VALUE!</v>
      </c>
      <c r="I86" s="65">
        <f>COUNTA(O86:AD86)</f>
        <v>0</v>
      </c>
      <c r="J86" s="228">
        <f>SUM(O86:AD86)</f>
        <v>0</v>
      </c>
      <c r="K86" s="119">
        <f>Seilareal/Depl^0.667/K$7</f>
        <v>0</v>
      </c>
      <c r="L86" s="119">
        <f>Seilareal/Lwl/Lwl/L$7</f>
        <v>0</v>
      </c>
      <c r="M86" s="95" t="e">
        <f>RiggF</f>
        <v>#DIV/0!</v>
      </c>
      <c r="N86" s="265" t="str">
        <f>StHfaktor</f>
        <v>-</v>
      </c>
      <c r="O86" s="147"/>
      <c r="P86" s="147"/>
      <c r="Q86" s="147"/>
      <c r="R86" s="147"/>
      <c r="S86" s="147"/>
      <c r="T86" s="147"/>
      <c r="U86" s="148"/>
      <c r="V86" s="148"/>
      <c r="W86" s="148"/>
      <c r="X86" s="148"/>
      <c r="Y86" s="147"/>
      <c r="Z86" s="147"/>
      <c r="AA86" s="147"/>
      <c r="AB86" s="147"/>
      <c r="AC86" s="147"/>
      <c r="AD86" s="148"/>
      <c r="AE86" s="260">
        <f t="shared" ref="AE86" si="800">AE85</f>
        <v>21.599999999999998</v>
      </c>
      <c r="AF86" s="375">
        <f t="shared" ref="AF86" si="801" xml:space="preserve"> AF85</f>
        <v>0</v>
      </c>
      <c r="AG86" s="377"/>
      <c r="AH86" s="375">
        <f t="shared" ref="AH86" si="802" xml:space="preserve"> AH85</f>
        <v>0</v>
      </c>
      <c r="AI86" s="377"/>
      <c r="AJ86" s="295" t="str">
        <f t="shared" si="780"/>
        <v>Meter</v>
      </c>
      <c r="AK86" s="47">
        <f>VLOOKUP(AJ86,Skrogform!$1:$1048576,3,FALSE)</f>
        <v>1</v>
      </c>
      <c r="AL86" s="66">
        <f t="shared" ref="AL86:AV86" si="803">AL85</f>
        <v>18</v>
      </c>
      <c r="AM86" s="66">
        <f t="shared" si="803"/>
        <v>12.5</v>
      </c>
      <c r="AN86" s="66">
        <f t="shared" si="803"/>
        <v>4.0999999999999996</v>
      </c>
      <c r="AO86" s="66">
        <f t="shared" si="803"/>
        <v>2.7</v>
      </c>
      <c r="AP86" s="66">
        <f t="shared" si="803"/>
        <v>28</v>
      </c>
      <c r="AQ86" s="66">
        <f t="shared" si="803"/>
        <v>10</v>
      </c>
      <c r="AR86" s="66">
        <f t="shared" si="803"/>
        <v>0</v>
      </c>
      <c r="AS86" s="284">
        <f t="shared" si="803"/>
        <v>0</v>
      </c>
      <c r="AT86" s="284">
        <f t="shared" si="803"/>
        <v>0</v>
      </c>
      <c r="AU86" s="284">
        <f t="shared" si="803"/>
        <v>500</v>
      </c>
      <c r="AV86" s="284">
        <f t="shared" si="803"/>
        <v>300</v>
      </c>
      <c r="AW86" s="284"/>
      <c r="AX86" s="284">
        <f>AX85</f>
        <v>0</v>
      </c>
      <c r="AY86" s="68"/>
      <c r="AZ86" s="68"/>
      <c r="BA86" s="289"/>
      <c r="BB86" s="68"/>
      <c r="BC86" s="179"/>
      <c r="BD86" s="68"/>
      <c r="BE86" s="68"/>
      <c r="BF86" s="67" t="str">
        <f t="shared" ref="BF86:BH86" si="804" xml:space="preserve"> BF85</f>
        <v>Fast</v>
      </c>
      <c r="BG86" s="295">
        <f t="shared" si="804"/>
        <v>3</v>
      </c>
      <c r="BH86" s="295">
        <f t="shared" si="804"/>
        <v>40</v>
      </c>
      <c r="BI86" s="47">
        <f t="shared" si="663"/>
        <v>0.99161170113510466</v>
      </c>
      <c r="BJ86" s="61"/>
      <c r="BK86" s="61"/>
      <c r="BM86" s="51">
        <f t="shared" si="783"/>
        <v>0</v>
      </c>
      <c r="BN86" s="51">
        <f t="shared" si="784"/>
        <v>0</v>
      </c>
      <c r="BO86" s="51">
        <f t="shared" si="785"/>
        <v>0</v>
      </c>
      <c r="BP86" s="51">
        <f t="shared" si="786"/>
        <v>0</v>
      </c>
      <c r="BQ86" s="51">
        <f t="shared" si="787"/>
        <v>0</v>
      </c>
      <c r="BR86" s="51">
        <f t="shared" si="788"/>
        <v>0</v>
      </c>
      <c r="BS86" s="52">
        <f>IF(COUNT(P86:T86)&gt;1,MINA(P86:T86)*BS$9,0)</f>
        <v>0</v>
      </c>
      <c r="BT86" s="88">
        <f t="shared" si="789"/>
        <v>0</v>
      </c>
      <c r="BU86" s="88">
        <f t="shared" si="790"/>
        <v>0</v>
      </c>
      <c r="BV86" s="88">
        <f t="shared" si="791"/>
        <v>0</v>
      </c>
      <c r="BW86" s="88">
        <f t="shared" si="792"/>
        <v>0</v>
      </c>
      <c r="BX86" s="88">
        <f t="shared" si="793"/>
        <v>0</v>
      </c>
      <c r="BY86" s="88">
        <f t="shared" si="794"/>
        <v>0</v>
      </c>
      <c r="BZ86" s="88">
        <f t="shared" si="795"/>
        <v>0</v>
      </c>
      <c r="CA86" s="88">
        <f t="shared" si="796"/>
        <v>0</v>
      </c>
      <c r="CB86" s="88">
        <f t="shared" si="797"/>
        <v>0</v>
      </c>
      <c r="CC86" s="88">
        <f t="shared" si="798"/>
        <v>0</v>
      </c>
      <c r="CD86" s="103">
        <f>SUM(BM86:CC86)</f>
        <v>0</v>
      </c>
      <c r="CE86" s="52"/>
      <c r="CF86" s="107">
        <f>J86</f>
        <v>0</v>
      </c>
      <c r="CG86" s="104" t="e">
        <f>CD86/CF86</f>
        <v>#DIV/0!</v>
      </c>
      <c r="CH86" s="53">
        <f>Seilareal/Lwl/Lwl</f>
        <v>0</v>
      </c>
      <c r="CI86" s="119">
        <f>Seilareal/Depl^0.667/K$7</f>
        <v>0</v>
      </c>
      <c r="CJ86" s="53">
        <f>Seilareal/Lwl/Lwl/SApRS1</f>
        <v>0</v>
      </c>
      <c r="CK86" s="209"/>
      <c r="CL86" s="209" t="e">
        <f>(ROUND(TBF/CL$6,3)*CL$6)*CL$4</f>
        <v>#VALUE!</v>
      </c>
      <c r="CM86" s="110" t="str">
        <f t="shared" si="690"/>
        <v>-</v>
      </c>
      <c r="CN86" s="64" t="str">
        <f>IF(SeilBeregnet=0,"-",(SeilBeregnet)^(1/2)*StHfaktor/(Depl+DeplTillegg/1000+Vann/1000+Diesel/1000*0.84)^(1/3))</f>
        <v>-</v>
      </c>
      <c r="CO86" s="64" t="str">
        <f t="shared" si="659"/>
        <v>-</v>
      </c>
      <c r="CP86" s="64" t="str">
        <f t="shared" si="660"/>
        <v>-</v>
      </c>
      <c r="CQ86" s="110" t="str">
        <f t="shared" si="661"/>
        <v>-</v>
      </c>
      <c r="CR86" s="172" t="str">
        <f t="shared" si="691"/>
        <v>-</v>
      </c>
      <c r="CS86" s="162"/>
      <c r="CT86" s="172" t="str">
        <f t="shared" si="692"/>
        <v>-</v>
      </c>
      <c r="CU86" s="164"/>
      <c r="CV86" s="195" t="s">
        <v>145</v>
      </c>
      <c r="CW86" s="64" t="s">
        <v>111</v>
      </c>
      <c r="CX86" s="64" t="s">
        <v>111</v>
      </c>
      <c r="CY86" s="64" t="s">
        <v>111</v>
      </c>
      <c r="CZ86" s="154" t="s">
        <v>111</v>
      </c>
      <c r="DA86" s="64" t="str">
        <f t="shared" si="664"/>
        <v>-</v>
      </c>
      <c r="DB86" s="49">
        <f t="shared" si="665"/>
        <v>15.340909090909092</v>
      </c>
      <c r="DC86" s="50">
        <f t="shared" si="666"/>
        <v>0</v>
      </c>
      <c r="DE86" s="110" t="str">
        <f>IF(SeilBeregnet=0,"-",DE$7*(DG:DG+DE$6)*DL:DL*PropF+ErfaringsF+Dyp_F)</f>
        <v>-</v>
      </c>
      <c r="DF86" s="144" t="str">
        <f t="shared" si="732"/>
        <v>-</v>
      </c>
      <c r="DG86" s="110">
        <f t="shared" si="668"/>
        <v>5.9922535608784475</v>
      </c>
      <c r="DH86" s="136">
        <f>IF(SeilBeregnet=0,DH85,(SeilBeregnet^0.5/(Depl^0.3333))^DH$3*DH$7)</f>
        <v>3.8969626735697123</v>
      </c>
      <c r="DI86" s="136">
        <f>IF(SeilBeregnet=0,DI85,(SeilBeregnet^0.5/Lwl)^DI$3*DI$7)</f>
        <v>0</v>
      </c>
      <c r="DJ86" s="136">
        <f>IF(SeilBeregnet=0,DJ85,(0.1*Loa/Depl^0.3333)^DJ$3*DJ$7)</f>
        <v>0</v>
      </c>
      <c r="DK86" s="136">
        <f>IF(SeilBeregnet=0,DK85,((Loa)/Bredde)^DK$3*DK$7)</f>
        <v>2.0952908873087348</v>
      </c>
      <c r="DL86" s="110">
        <f>IF(SeilBeregnet=0,DL85,(Lwl)^DL$3)</f>
        <v>1.8803015465431969</v>
      </c>
      <c r="DM86" s="136">
        <f>IF(SeilBeregnet=0,DM85,(Dypg/Loa)^DM$3*5*DM$7)</f>
        <v>1.9364916731037085</v>
      </c>
      <c r="DO86" s="110" t="str">
        <f t="shared" si="669"/>
        <v>-</v>
      </c>
      <c r="DP86" s="110" t="str">
        <f t="shared" si="670"/>
        <v>-</v>
      </c>
      <c r="DR86" s="110" t="str">
        <f t="shared" si="671"/>
        <v>-</v>
      </c>
      <c r="DS86" s="125" t="str">
        <f t="shared" si="734"/>
        <v>-</v>
      </c>
      <c r="DT86" s="110" t="str">
        <f t="shared" si="673"/>
        <v>-</v>
      </c>
      <c r="DU86" s="125" t="str">
        <f t="shared" si="735"/>
        <v>-</v>
      </c>
      <c r="DV86" s="110">
        <f>IF(SeilBeregnet=0,DV85,SeilBeregnet^0.5/Depl^0.33333)</f>
        <v>3.8965731287427761</v>
      </c>
      <c r="DW86" s="110">
        <f>IF(SeilBeregnet=0,DW85,Lwl^0.3333)</f>
        <v>2.3205990351333203</v>
      </c>
      <c r="DX86" s="110">
        <f>IF(SeilBeregnet=0,DX85,((Loa+Lwl)/Bredde)^DX$3)</f>
        <v>1.6515015881278676</v>
      </c>
      <c r="DZ86" s="110" t="str">
        <f t="shared" si="675"/>
        <v>-</v>
      </c>
      <c r="EB86" s="110">
        <f>IF(SeilBeregnet=0,EB85,SeilBeregnet^0.5/Depl^0.33333)</f>
        <v>3.8965731287427761</v>
      </c>
      <c r="EC86" s="110">
        <f>IF(SeilBeregnet=0,EC85,Lwl^EC$3)</f>
        <v>2.3207748778988528</v>
      </c>
      <c r="ED86" s="110">
        <f>IF(SeilBeregnet=0,ED85,((Loa+Lwl)/Bredde)^ED$3)</f>
        <v>1.9519841055529688</v>
      </c>
      <c r="EE86" s="110" t="str">
        <f t="shared" si="676"/>
        <v>-</v>
      </c>
      <c r="EG86" s="110">
        <f>IF(SeilBeregnet=0,EG85,(EH86*EI86)^EG$3)</f>
        <v>6.4351967103750685</v>
      </c>
      <c r="EH86" s="110">
        <f>IF(SeilBeregnet=0,EH85,SeilBeregnet^0.5/Depl^0.33333)</f>
        <v>3.8965731287427761</v>
      </c>
      <c r="EI86" s="110">
        <f>IF(SeilBeregnet=0,EI85,((Loa+Lwl)/Bredde)^EI$3)</f>
        <v>1.6515015881278676</v>
      </c>
      <c r="EJ86" s="110">
        <f>IF(SeilBeregnet=0,EJ85,Lwl^EJ$3)</f>
        <v>1.8803015465431969</v>
      </c>
      <c r="EK86" s="110" t="str">
        <f>IF(SeilBeregnet=0,"-",EK$7*(EK$4*EM:EM+EK$6)*EP:EP*PropF+ErfaringsF+Dyp_F)</f>
        <v>-</v>
      </c>
      <c r="EM86" s="110">
        <f>IF(SeilBeregnet=0,EM85,(EN:EN*EO:EO)^EM$3)</f>
        <v>2.0277387806525886</v>
      </c>
      <c r="EN86" s="110">
        <f>IF(SeilBeregnet=0,EN85,SeilBeregnet^0.5/Depl^0.33333)</f>
        <v>3.8965731287427761</v>
      </c>
      <c r="EO86" s="110">
        <f>IF(SeilBeregnet=0,EO85,((Loa+Lwl)/Bredde/6)^EO$3)</f>
        <v>1.0552155513860686</v>
      </c>
      <c r="EP86" s="110">
        <f>IF(SeilBeregnet=0,EP85,(Lwl*0.7+Loa*0.3)^EP$3)</f>
        <v>1.9394969901396613</v>
      </c>
      <c r="EQ86" s="110" t="str">
        <f>IF(SeilBeregnet=0,"-",EQ$7*(ES:ES+EQ$6)*EV:EV*PropF+ErfaringsF+Dyp_F)</f>
        <v>-</v>
      </c>
      <c r="ES86" s="110">
        <f>(ET:ET*EU:EU)^ES$3</f>
        <v>2.0278401357902434</v>
      </c>
      <c r="ET86" s="110">
        <f>IF(SeilBeregnet=0,ET85,SeilBeregnet^0.5/Depl^0.3333)</f>
        <v>3.8969626735697123</v>
      </c>
      <c r="EU86" s="110">
        <f>IF(SeilBeregnet=0,EU85,((Loa+Lwl)/Bredde/6)^EU$3)</f>
        <v>1.0552155513860686</v>
      </c>
      <c r="EV86" s="110">
        <f>IF(SeilBeregnet=0,EV85,(Lwl*0.7+Loa*0.3)^EV$3)</f>
        <v>1.9394969901396613</v>
      </c>
      <c r="EW86" s="110" t="str">
        <f>IF(SeilBeregnet=0,"-",EW$7*(EY:EY+EW$6)*FB:FB*PropF+ErfaringsF+Dyp_F)</f>
        <v>-</v>
      </c>
      <c r="EX86" s="144" t="str">
        <f t="shared" si="736"/>
        <v>-</v>
      </c>
      <c r="EY86" s="110">
        <f>(EZ:EZ*FA:FA)^EY$3</f>
        <v>4.3391894517512908</v>
      </c>
      <c r="EZ86" s="136">
        <f>IF(SeilBeregnet=0,EZ85,(SeilBeregnet^0.5/(Depl^0.3333))^EZ$3)</f>
        <v>3.8969626735697123</v>
      </c>
      <c r="FA86" s="136">
        <f>IF(SeilBeregnet=0,FA85,((Loa+Lwl)/Bredde/6)^FA$3)</f>
        <v>1.1134798598870048</v>
      </c>
      <c r="FB86" s="110">
        <f>IF(SeilBeregnet=0,FB85,(Lwl*0.07+Loa*0.03)^FB$3)</f>
        <v>1.0906593076378306</v>
      </c>
      <c r="FC86" s="110" t="str">
        <f>IF(SeilBeregnet=0,"-",FC$7*(FE:FE+FC$6)*FI:FI*PropF+ErfaringsF+Dyp_F)</f>
        <v>-</v>
      </c>
      <c r="FD86" s="144" t="str">
        <f t="shared" si="737"/>
        <v>-</v>
      </c>
      <c r="FE86" s="110">
        <f>(FF:FF+FG:FG+FH:FH)^FE$3+FE$7</f>
        <v>6.4388263261743859</v>
      </c>
      <c r="FF86" s="136">
        <f>IF(SeilBeregnet=0,FF85,(SeilBeregnet^0.5/(Depl^0.3333))^FF$3)</f>
        <v>3.8969626735697123</v>
      </c>
      <c r="FG86" s="136">
        <f>IF(SeilBeregnet=0,FG85,(SeilBeregnet^0.5/Lwl*FG$7)^FG$3)</f>
        <v>0.94657276529593859</v>
      </c>
      <c r="FH86" s="136">
        <f>IF(SeilBeregnet=0,FH85,((Loa)/Bredde)^FH$3*FH$7)</f>
        <v>2.0952908873087348</v>
      </c>
      <c r="FI86" s="110">
        <f>IF(SeilBeregnet=0,FI85,(Lwl)^FI$3)</f>
        <v>1.8803015465431969</v>
      </c>
      <c r="FJ86" s="110" t="str">
        <f>IF(SeilBeregnet=0,"-",FJ$7*(FL:FL+FJ$6)*FO:FO*PropF+ErfaringsF+Dyp_F)</f>
        <v>-</v>
      </c>
      <c r="FK86" s="144" t="str">
        <f t="shared" si="738"/>
        <v>-</v>
      </c>
      <c r="FL86" s="110">
        <f>(FM:FM*FN:FN)^FL$3</f>
        <v>8.1652703781129023</v>
      </c>
      <c r="FM86" s="136">
        <f>IF(SeilBeregnet=0,FM85,(SeilBeregnet^0.5/(Depl^0.3333))^FM$3)</f>
        <v>3.8969626735697123</v>
      </c>
      <c r="FN86" s="136">
        <f>IF(SeilBeregnet=0,FN85,(Loa/Bredde)^FN$3)</f>
        <v>2.0952908873087348</v>
      </c>
      <c r="FO86" s="110">
        <f>IF(SeilBeregnet=0,FO85,Lwl^FO$3)</f>
        <v>1.8803015465431969</v>
      </c>
      <c r="FQ86" s="374">
        <v>1</v>
      </c>
      <c r="FR86" s="64" t="str">
        <f t="shared" si="739"/>
        <v>-</v>
      </c>
      <c r="FS86" s="479"/>
      <c r="FT86" s="18"/>
      <c r="FU86" s="481"/>
      <c r="FV86" s="504"/>
      <c r="FW86" s="18"/>
      <c r="FX86" s="18"/>
      <c r="FY86" s="18"/>
      <c r="FZ86" s="18"/>
      <c r="GB86" s="18"/>
      <c r="GC86" s="481"/>
      <c r="GD86" s="8"/>
      <c r="GE86" s="8"/>
      <c r="GF86" s="8"/>
      <c r="GG86" s="8"/>
      <c r="GI86" s="18"/>
      <c r="GJ86" s="18"/>
      <c r="GK86" s="18"/>
      <c r="GL86" s="18"/>
      <c r="GM86" s="18"/>
      <c r="GN86" s="18"/>
      <c r="GO86" s="18"/>
      <c r="GP86" s="18"/>
    </row>
    <row r="87" spans="1:198" ht="15.6" x14ac:dyDescent="0.3">
      <c r="A87" s="54" t="s">
        <v>764</v>
      </c>
      <c r="B87" s="223">
        <f t="shared" si="199"/>
        <v>45.931758530183721</v>
      </c>
      <c r="C87" s="55" t="s">
        <v>41</v>
      </c>
      <c r="D87" s="55"/>
      <c r="E87" s="55"/>
      <c r="F87" s="55"/>
      <c r="G87" s="56"/>
      <c r="H87" s="209"/>
      <c r="I87" s="126" t="str">
        <f>A87</f>
        <v>Nanna</v>
      </c>
      <c r="J87" s="229"/>
      <c r="K87" s="119"/>
      <c r="L87" s="119"/>
      <c r="M87" s="95"/>
      <c r="N87" s="265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270"/>
      <c r="AF87" s="296"/>
      <c r="AG87" s="377"/>
      <c r="AH87" s="296"/>
      <c r="AI87" s="377"/>
      <c r="AJ87" s="296" t="s">
        <v>240</v>
      </c>
      <c r="AK87" s="47">
        <f>VLOOKUP(AJ87,Skrogform!$1:$1048576,3,FALSE)</f>
        <v>1</v>
      </c>
      <c r="AL87" s="57">
        <v>14</v>
      </c>
      <c r="AM87" s="57"/>
      <c r="AN87" s="57"/>
      <c r="AO87" s="57">
        <v>2.1</v>
      </c>
      <c r="AP87" s="57">
        <v>11</v>
      </c>
      <c r="AQ87" s="57">
        <v>5</v>
      </c>
      <c r="AR87" s="57"/>
      <c r="AS87" s="281"/>
      <c r="AT87" s="282">
        <f>AS87*7</f>
        <v>0</v>
      </c>
      <c r="AU87" s="281">
        <f>ROUND(Depl*10,-2)</f>
        <v>100</v>
      </c>
      <c r="AV87" s="281">
        <f>ROUND(Depl*10,-2)</f>
        <v>100</v>
      </c>
      <c r="AW87" s="270">
        <f>Depl+Diesel/1000+Vann/1000</f>
        <v>11.2</v>
      </c>
      <c r="AX87" s="281"/>
      <c r="AY87" s="98">
        <f>Bredde/(Loa+Lwl)*2</f>
        <v>0</v>
      </c>
      <c r="AZ87" s="98">
        <f>(Kjøl+Ballast)/Depl</f>
        <v>0.45454545454545453</v>
      </c>
      <c r="BA87" s="288" t="e">
        <f>BA$7*((Depl-Kjøl-Ballast-VektMotor/1000-VektAnnet/1000)/Loa/Lwl/Bredde)</f>
        <v>#DIV/0!</v>
      </c>
      <c r="BB87" s="98" t="e">
        <f>BB$7*(Depl/Loa/Lwl/Lwl)</f>
        <v>#DIV/0!</v>
      </c>
      <c r="BC87" s="178" t="e">
        <f>BC$7*(Depl/Loa/Lwl/Bredde)</f>
        <v>#DIV/0!</v>
      </c>
      <c r="BD87" s="98">
        <f>BD$7*Bredde/(Loa+Lwl)*2</f>
        <v>0</v>
      </c>
      <c r="BE87" s="98" t="e">
        <f>BE$7*(Dypg/Lwl)</f>
        <v>#DIV/0!</v>
      </c>
      <c r="BF87" s="58"/>
      <c r="BG87" s="296"/>
      <c r="BH87" s="296"/>
      <c r="BI87" s="47">
        <f t="shared" si="663"/>
        <v>1</v>
      </c>
      <c r="BJ87" s="61"/>
      <c r="BK87" s="61"/>
      <c r="BM87" s="214"/>
      <c r="BN87" s="214" t="str">
        <f>$A87</f>
        <v>Nanna</v>
      </c>
      <c r="BO87" s="10"/>
      <c r="BP87" s="10"/>
      <c r="BQ87" s="10"/>
      <c r="BR87" s="10"/>
      <c r="BS87" s="52"/>
      <c r="BT87" s="214" t="str">
        <f>$A87</f>
        <v>Nanna</v>
      </c>
      <c r="BU87" s="10"/>
      <c r="BV87" s="10"/>
      <c r="BW87" s="10"/>
      <c r="BX87" s="10"/>
      <c r="BY87" s="10"/>
      <c r="BZ87" s="10"/>
      <c r="CA87" s="10"/>
      <c r="CB87" s="10"/>
      <c r="CC87" s="10"/>
      <c r="CD87" s="214"/>
      <c r="CE87" s="10"/>
      <c r="CF87" s="214" t="str">
        <f>$A87</f>
        <v>Nanna</v>
      </c>
      <c r="CG87" s="212"/>
      <c r="CH87" s="212"/>
      <c r="CI87" s="119"/>
      <c r="CJ87" s="212"/>
      <c r="CK87" s="208"/>
      <c r="CL87" s="208" t="s">
        <v>26</v>
      </c>
      <c r="CM87" s="110" t="str">
        <f t="shared" si="690"/>
        <v>-</v>
      </c>
      <c r="CN87" s="64" t="str">
        <f>IF(SeilBeregnet=0,"-",(SeilBeregnet)^(1/2)*StHfaktor/(Depl+DeplTillegg/1000+Vann/1000+Diesel/1000*0.84)^(1/3))</f>
        <v>-</v>
      </c>
      <c r="CO87" s="64" t="str">
        <f t="shared" si="659"/>
        <v>-</v>
      </c>
      <c r="CP87" s="64" t="str">
        <f t="shared" si="660"/>
        <v>-</v>
      </c>
      <c r="CQ87" s="110" t="str">
        <f t="shared" si="661"/>
        <v>-</v>
      </c>
      <c r="CR87" s="172" t="str">
        <f t="shared" si="691"/>
        <v>-</v>
      </c>
      <c r="CS87" s="162"/>
      <c r="CT87" s="172" t="str">
        <f t="shared" si="692"/>
        <v>-</v>
      </c>
      <c r="CU87" s="164">
        <v>1.38</v>
      </c>
      <c r="CV87" s="195" t="s">
        <v>145</v>
      </c>
      <c r="CW87" s="30" t="s">
        <v>26</v>
      </c>
      <c r="CX87" s="30" t="s">
        <v>26</v>
      </c>
      <c r="CY87" s="30" t="s">
        <v>26</v>
      </c>
      <c r="CZ87" s="153">
        <v>2022</v>
      </c>
      <c r="DA87" s="64" t="str">
        <f t="shared" si="664"/>
        <v>-</v>
      </c>
      <c r="DB87" s="49">
        <f t="shared" si="665"/>
        <v>210</v>
      </c>
      <c r="DC87" s="50">
        <f t="shared" si="666"/>
        <v>0</v>
      </c>
      <c r="DE87" s="110" t="str">
        <f>IF(SeilBeregnet=0,"-",DE$7*(DG:DG+DE$6)*DL:DL*PropF+ErfaringsF+Dyp_F)</f>
        <v>-</v>
      </c>
      <c r="DF87" s="144" t="str">
        <f t="shared" ref="DF87:DF95" si="805">IF($DQ87=0,"-",(DE87-$DO87)*100)</f>
        <v>-</v>
      </c>
      <c r="DG87" s="110">
        <f t="shared" si="668"/>
        <v>5.13234699250388</v>
      </c>
      <c r="DH87" s="136">
        <f>IF(SeilBeregnet=0,DH33,(SeilBeregnet^0.5/(Depl^0.3333))^DH$3*DH$7)</f>
        <v>3.2677440358274423</v>
      </c>
      <c r="DI87" s="136">
        <f>IF(SeilBeregnet=0,DI33,(SeilBeregnet^0.5/Lwl)^DI$3*DI$7)</f>
        <v>0</v>
      </c>
      <c r="DJ87" s="136">
        <f>IF(SeilBeregnet=0,DJ33,(0.1*Loa/Depl^0.3333)^DJ$3*DJ$7)</f>
        <v>0</v>
      </c>
      <c r="DK87" s="136">
        <f>IF(SeilBeregnet=0,DK33,((Loa)/Bredde)^DK$3*DK$7)</f>
        <v>1.8646029566764373</v>
      </c>
      <c r="DL87" s="110">
        <f>IF(SeilBeregnet=0,DL33,(Lwl)^DL$3)</f>
        <v>1.8859172433475835</v>
      </c>
      <c r="DM87" s="136">
        <f>IF(SeilBeregnet=0,DM33,(Dypg/Loa)^DM$3*5*DM$7)</f>
        <v>2.0446520502738266</v>
      </c>
      <c r="DO87" s="110" t="str">
        <f t="shared" si="669"/>
        <v>-</v>
      </c>
      <c r="DP87" s="110" t="str">
        <f t="shared" si="670"/>
        <v>-</v>
      </c>
      <c r="DR87" s="110" t="str">
        <f t="shared" si="671"/>
        <v>-</v>
      </c>
      <c r="DS87" s="125" t="str">
        <f t="shared" ref="DS87:DS95" si="806">IF($DQ87=0,"-",DR87-$DO87)</f>
        <v>-</v>
      </c>
      <c r="DT87" s="110" t="str">
        <f t="shared" si="673"/>
        <v>-</v>
      </c>
      <c r="DU87" s="125" t="str">
        <f t="shared" ref="DU87:DU95" si="807">IF($DQ87=0,"-",DT87-$DO87)</f>
        <v>-</v>
      </c>
      <c r="DV87" s="110">
        <f>IF(SeilBeregnet=0,DV33,SeilBeregnet^0.5/Depl^0.33333)</f>
        <v>3.2674173884121251</v>
      </c>
      <c r="DW87" s="110">
        <f>IF(SeilBeregnet=0,DW33,Lwl^0.3333)</f>
        <v>2.3298436208665341</v>
      </c>
      <c r="DX87" s="110">
        <f>IF(SeilBeregnet=0,DX33,((Loa+Lwl)/Bredde)^DX$3)</f>
        <v>1.5916961163398649</v>
      </c>
      <c r="DZ87" s="110" t="str">
        <f t="shared" si="675"/>
        <v>-</v>
      </c>
      <c r="EB87" s="110">
        <f>IF(SeilBeregnet=0,EB33,SeilBeregnet^0.5/Depl^0.33333)</f>
        <v>3.2674173884121251</v>
      </c>
      <c r="EC87" s="110">
        <f>IF(SeilBeregnet=0,EC33,Lwl^EC$3)</f>
        <v>2.3300209979525235</v>
      </c>
      <c r="ED87" s="110">
        <f>IF(SeilBeregnet=0,ED33,((Loa+Lwl)/Bredde)^ED$3)</f>
        <v>1.8583176886572534</v>
      </c>
      <c r="EE87" s="110" t="str">
        <f t="shared" si="676"/>
        <v>-</v>
      </c>
      <c r="EG87" s="110">
        <f>IF(SeilBeregnet=0,EG33,(EH87*EI87)^EG$3)</f>
        <v>5.2007355675969231</v>
      </c>
      <c r="EH87" s="110">
        <f>IF(SeilBeregnet=0,EH33,SeilBeregnet^0.5/Depl^0.33333)</f>
        <v>3.2674173884121251</v>
      </c>
      <c r="EI87" s="110">
        <f>IF(SeilBeregnet=0,EI33,((Loa+Lwl)/Bredde)^EI$3)</f>
        <v>1.5916961163398649</v>
      </c>
      <c r="EJ87" s="110">
        <f>IF(SeilBeregnet=0,EJ33,Lwl^EJ$3)</f>
        <v>1.8859172433475835</v>
      </c>
      <c r="EK87" s="110" t="str">
        <f>IF(SeilBeregnet=0,"-",EK$7*(EK$4*EM:EM+EK$6)*EP:EP*PropF+ErfaringsF+Dyp_F)</f>
        <v>-</v>
      </c>
      <c r="EM87" s="110">
        <f>IF(SeilBeregnet=0,EM33,(EN:EN*EO:EO)^EM$3)</f>
        <v>1.8229026655102509</v>
      </c>
      <c r="EN87" s="110">
        <f>IF(SeilBeregnet=0,EN33,SeilBeregnet^0.5/Depl^0.33333)</f>
        <v>3.2674173884121251</v>
      </c>
      <c r="EO87" s="110">
        <f>IF(SeilBeregnet=0,EO33,((Loa+Lwl)/Bredde/6)^EO$3)</f>
        <v>1.0170032575909294</v>
      </c>
      <c r="EP87" s="110">
        <f>IF(SeilBeregnet=0,EP33,(Lwl*0.7+Loa*0.3)^EP$3)</f>
        <v>1.9111244003334622</v>
      </c>
      <c r="EQ87" s="110" t="str">
        <f>IF(SeilBeregnet=0,"-",EQ$7*(ES:ES+EQ$6)*EV:EV*PropF+ErfaringsF+Dyp_F)</f>
        <v>-</v>
      </c>
      <c r="ES87" s="110">
        <f>(ET:ET*EU:EU)^ES$3</f>
        <v>1.8229937820546289</v>
      </c>
      <c r="ET87" s="110">
        <f>IF(SeilBeregnet=0,ET33,SeilBeregnet^0.5/Depl^0.3333)</f>
        <v>3.2677440358274423</v>
      </c>
      <c r="EU87" s="110">
        <f>IF(SeilBeregnet=0,EU33,((Loa+Lwl)/Bredde/6)^EU$3)</f>
        <v>1.0170032575909294</v>
      </c>
      <c r="EV87" s="110">
        <f>IF(SeilBeregnet=0,EV33,(Lwl*0.7+Loa*0.3)^EV$3)</f>
        <v>1.9111244003334622</v>
      </c>
      <c r="EW87" s="110" t="str">
        <f>IF(SeilBeregnet=0,"-",EW$7*(EY:EY+EW$6)*FB:FB*PropF+ErfaringsF+Dyp_F)</f>
        <v>-</v>
      </c>
      <c r="EX87" s="144" t="str">
        <f t="shared" ref="EX87:EX95" si="808">IF($DQ87=0,"-",(EW87-$DO87)*100)</f>
        <v>-</v>
      </c>
      <c r="EY87" s="110">
        <f>(EZ:EZ*FA:FA)^EY$3</f>
        <v>3.379813362982361</v>
      </c>
      <c r="EZ87" s="136">
        <f>IF(SeilBeregnet=0,EZ33,(SeilBeregnet^0.5/(Depl^0.3333))^EZ$3)</f>
        <v>3.2677440358274423</v>
      </c>
      <c r="FA87" s="136">
        <f>IF(SeilBeregnet=0,FA33,((Loa+Lwl)/Bredde/6)^FA$3)</f>
        <v>1.0342956259505622</v>
      </c>
      <c r="FB87" s="110">
        <f>IF(SeilBeregnet=0,FB33,(Lwl*0.07+Loa*0.03)^FB$3)</f>
        <v>1.0747042278871302</v>
      </c>
      <c r="FC87" s="110" t="str">
        <f>IF(SeilBeregnet=0,"-",FC$7*(FE:FE+FC$6)*FI:FI*PropF+ErfaringsF+Dyp_F)</f>
        <v>-</v>
      </c>
      <c r="FD87" s="144" t="str">
        <f t="shared" ref="FD87:FD95" si="809">IF($DQ87=0,"-",(FC87-$DO87)*100)</f>
        <v>-</v>
      </c>
      <c r="FE87" s="110">
        <f>(FF:FF+FG:FG+FH:FH)^FE$3+FE$7</f>
        <v>5.4166705817410312</v>
      </c>
      <c r="FF87" s="136">
        <f>IF(SeilBeregnet=0,FF33,(SeilBeregnet^0.5/(Depl^0.3333))^FF$3)</f>
        <v>3.2677440358274423</v>
      </c>
      <c r="FG87" s="136">
        <f>IF(SeilBeregnet=0,FG33,(SeilBeregnet^0.5/Lwl*FG$7)^FG$3)</f>
        <v>0.78432358923715173</v>
      </c>
      <c r="FH87" s="136">
        <f>IF(SeilBeregnet=0,FH33,((Loa)/Bredde)^FH$3*FH$7)</f>
        <v>1.8646029566764373</v>
      </c>
      <c r="FI87" s="110">
        <f>IF(SeilBeregnet=0,FI33,(Lwl)^FI$3)</f>
        <v>1.8859172433475835</v>
      </c>
      <c r="FJ87" s="110" t="str">
        <f>IF(SeilBeregnet=0,"-",FJ$7*(FL:FL+FJ$6)*FO:FO*PropF+ErfaringsF+Dyp_F)</f>
        <v>-</v>
      </c>
      <c r="FK87" s="144" t="str">
        <f t="shared" ref="FK87:FK95" si="810">IF($DQ87=0,"-",(FJ87-$DO87)*100)</f>
        <v>-</v>
      </c>
      <c r="FL87" s="110">
        <f>(FM:FM*FN:FN)^FL$3</f>
        <v>6.0930451908656424</v>
      </c>
      <c r="FM87" s="136">
        <f>IF(SeilBeregnet=0,FM33,(SeilBeregnet^0.5/(Depl^0.3333))^FM$3)</f>
        <v>3.2677440358274423</v>
      </c>
      <c r="FN87" s="136">
        <f>IF(SeilBeregnet=0,FN33,(Loa/Bredde)^FN$3)</f>
        <v>1.8646029566764373</v>
      </c>
      <c r="FO87" s="110">
        <f>IF(SeilBeregnet=0,FO33,Lwl^FO$3)</f>
        <v>1.8859172433475835</v>
      </c>
      <c r="FP87" s="569">
        <v>1.4</v>
      </c>
      <c r="FQ87" s="374">
        <v>1</v>
      </c>
      <c r="FR87" s="64" t="str">
        <f t="shared" ref="FR87:FR95" si="811">IF(SeilBeregnet=0,"-",0.06*2.43^(1/2)*(SeilBeregnet^(1/2)/Depl^(1/3)+(Loa/Bredde)^(1/2)+5*(Dypg/Loa)^(1/2))*Lwl^(1/4)*FQ87)</f>
        <v>-</v>
      </c>
      <c r="FS87" s="480" t="s">
        <v>780</v>
      </c>
      <c r="FT87" s="59" t="s">
        <v>574</v>
      </c>
      <c r="FU87" s="475" t="s">
        <v>577</v>
      </c>
      <c r="FV87" s="506" t="s">
        <v>578</v>
      </c>
      <c r="FW87" s="59" t="s">
        <v>575</v>
      </c>
      <c r="FX87" s="59" t="s">
        <v>576</v>
      </c>
      <c r="FY87" s="59" t="s">
        <v>455</v>
      </c>
      <c r="FZ87" s="59" t="s">
        <v>522</v>
      </c>
      <c r="GB87" s="59" t="s">
        <v>522</v>
      </c>
      <c r="GC87" s="475" t="s">
        <v>522</v>
      </c>
      <c r="GD87" s="60" t="s">
        <v>522</v>
      </c>
      <c r="GE87" s="60" t="s">
        <v>522</v>
      </c>
      <c r="GF87" s="60" t="s">
        <v>522</v>
      </c>
      <c r="GG87" s="60" t="s">
        <v>522</v>
      </c>
      <c r="GI87" s="59" t="s">
        <v>234</v>
      </c>
      <c r="GJ87" s="59" t="s">
        <v>781</v>
      </c>
      <c r="GK87" s="59" t="s">
        <v>782</v>
      </c>
      <c r="GL87" s="59" t="s">
        <v>783</v>
      </c>
      <c r="GM87" s="59">
        <v>1939</v>
      </c>
      <c r="GN87" s="59" t="s">
        <v>470</v>
      </c>
      <c r="GO87" s="59" t="s">
        <v>784</v>
      </c>
      <c r="GP87" s="59" t="s">
        <v>522</v>
      </c>
    </row>
    <row r="88" spans="1:198" ht="15.6" x14ac:dyDescent="0.3">
      <c r="A88" s="62" t="s">
        <v>36</v>
      </c>
      <c r="B88" s="223"/>
      <c r="C88" s="63" t="str">
        <f>C87</f>
        <v>Bermuda</v>
      </c>
      <c r="D88" s="63"/>
      <c r="E88" s="63"/>
      <c r="F88" s="63"/>
      <c r="G88" s="56"/>
      <c r="H88" s="209" t="e">
        <f>TBFavrundet</f>
        <v>#VALUE!</v>
      </c>
      <c r="I88" s="65">
        <f>COUNTA(O88:AD88)</f>
        <v>0</v>
      </c>
      <c r="J88" s="228">
        <f>SUM(O88:AD88)</f>
        <v>0</v>
      </c>
      <c r="K88" s="119">
        <f>Seilareal/Depl^0.667/K$7</f>
        <v>0</v>
      </c>
      <c r="L88" s="119" t="e">
        <f>Seilareal/Lwl/Lwl/L$7</f>
        <v>#DIV/0!</v>
      </c>
      <c r="M88" s="95" t="e">
        <f>RiggF</f>
        <v>#DIV/0!</v>
      </c>
      <c r="N88" s="265" t="str">
        <f>StHfaktor</f>
        <v>-</v>
      </c>
      <c r="O88" s="147"/>
      <c r="P88" s="147"/>
      <c r="Q88" s="147"/>
      <c r="R88" s="147"/>
      <c r="S88" s="147"/>
      <c r="T88" s="147"/>
      <c r="U88" s="148"/>
      <c r="V88" s="148"/>
      <c r="W88" s="148"/>
      <c r="X88" s="148"/>
      <c r="Y88" s="147"/>
      <c r="Z88" s="147"/>
      <c r="AA88" s="147"/>
      <c r="AB88" s="147"/>
      <c r="AC88" s="147"/>
      <c r="AD88" s="148"/>
      <c r="AE88" s="260">
        <f t="shared" ref="AE88" si="812">AE87</f>
        <v>0</v>
      </c>
      <c r="AF88" s="375">
        <f t="shared" ref="AF88:AH89" si="813" xml:space="preserve"> AF87</f>
        <v>0</v>
      </c>
      <c r="AG88" s="377"/>
      <c r="AH88" s="375">
        <f t="shared" si="813"/>
        <v>0</v>
      </c>
      <c r="AI88" s="377"/>
      <c r="AJ88" s="295" t="str">
        <f t="shared" ref="AJ88:AJ89" si="814" xml:space="preserve"> AJ87</f>
        <v>Meter</v>
      </c>
      <c r="AK88" s="47">
        <f>VLOOKUP(AJ88,Skrogform!$1:$1048576,3,FALSE)</f>
        <v>1</v>
      </c>
      <c r="AL88" s="66">
        <f t="shared" ref="AL88:AT88" si="815">AL87</f>
        <v>14</v>
      </c>
      <c r="AM88" s="66">
        <f t="shared" si="815"/>
        <v>0</v>
      </c>
      <c r="AN88" s="66">
        <f t="shared" si="815"/>
        <v>0</v>
      </c>
      <c r="AO88" s="66">
        <f t="shared" si="815"/>
        <v>2.1</v>
      </c>
      <c r="AP88" s="66">
        <f t="shared" si="815"/>
        <v>11</v>
      </c>
      <c r="AQ88" s="66">
        <f t="shared" si="815"/>
        <v>5</v>
      </c>
      <c r="AR88" s="66">
        <f t="shared" si="815"/>
        <v>0</v>
      </c>
      <c r="AS88" s="284">
        <f t="shared" si="815"/>
        <v>0</v>
      </c>
      <c r="AT88" s="284">
        <f t="shared" si="815"/>
        <v>0</v>
      </c>
      <c r="AU88" s="284">
        <f t="shared" ref="AU88:AV88" si="816">AU87</f>
        <v>100</v>
      </c>
      <c r="AV88" s="284">
        <f t="shared" si="816"/>
        <v>100</v>
      </c>
      <c r="AW88" s="284"/>
      <c r="AX88" s="284">
        <f>AX87</f>
        <v>0</v>
      </c>
      <c r="AY88" s="68"/>
      <c r="AZ88" s="68"/>
      <c r="BA88" s="289"/>
      <c r="BB88" s="68"/>
      <c r="BC88" s="179"/>
      <c r="BD88" s="68"/>
      <c r="BE88" s="68"/>
      <c r="BF88" s="67">
        <f t="shared" ref="BF88:BH88" si="817" xml:space="preserve"> BF87</f>
        <v>0</v>
      </c>
      <c r="BG88" s="295">
        <f t="shared" si="817"/>
        <v>0</v>
      </c>
      <c r="BH88" s="295">
        <f t="shared" si="817"/>
        <v>0</v>
      </c>
      <c r="BI88" s="47">
        <f t="shared" si="663"/>
        <v>1</v>
      </c>
      <c r="BJ88" s="61"/>
      <c r="BK88" s="61"/>
      <c r="BM88" s="51">
        <f t="shared" ref="BM88:BR89" si="818">IF(O88=0,0,O88*BM$9)</f>
        <v>0</v>
      </c>
      <c r="BN88" s="51">
        <f t="shared" si="818"/>
        <v>0</v>
      </c>
      <c r="BO88" s="51">
        <f t="shared" si="818"/>
        <v>0</v>
      </c>
      <c r="BP88" s="51">
        <f t="shared" si="818"/>
        <v>0</v>
      </c>
      <c r="BQ88" s="51">
        <f t="shared" si="818"/>
        <v>0</v>
      </c>
      <c r="BR88" s="51">
        <f t="shared" si="818"/>
        <v>0</v>
      </c>
      <c r="BS88" s="52">
        <f>IF(COUNT(P88:T88)&gt;1,MINA(P88:T88)*BS$9,0)</f>
        <v>0</v>
      </c>
      <c r="BT88" s="88">
        <f t="shared" ref="BT88:CC89" si="819">IF(U88=0,0,U88*BT$9)</f>
        <v>0</v>
      </c>
      <c r="BU88" s="88">
        <f t="shared" si="819"/>
        <v>0</v>
      </c>
      <c r="BV88" s="88">
        <f t="shared" si="819"/>
        <v>0</v>
      </c>
      <c r="BW88" s="88">
        <f t="shared" si="819"/>
        <v>0</v>
      </c>
      <c r="BX88" s="88">
        <f t="shared" si="819"/>
        <v>0</v>
      </c>
      <c r="BY88" s="88">
        <f t="shared" si="819"/>
        <v>0</v>
      </c>
      <c r="BZ88" s="88">
        <f t="shared" si="819"/>
        <v>0</v>
      </c>
      <c r="CA88" s="88">
        <f t="shared" si="819"/>
        <v>0</v>
      </c>
      <c r="CB88" s="88">
        <f t="shared" si="819"/>
        <v>0</v>
      </c>
      <c r="CC88" s="88">
        <f t="shared" si="819"/>
        <v>0</v>
      </c>
      <c r="CD88" s="103">
        <f>SUM(BM88:CC88)</f>
        <v>0</v>
      </c>
      <c r="CE88" s="52"/>
      <c r="CF88" s="107">
        <f>J88</f>
        <v>0</v>
      </c>
      <c r="CG88" s="104" t="e">
        <f>CD88/CF88</f>
        <v>#DIV/0!</v>
      </c>
      <c r="CH88" s="53" t="e">
        <f>Seilareal/Lwl/Lwl</f>
        <v>#DIV/0!</v>
      </c>
      <c r="CI88" s="119">
        <f>Seilareal/Depl^0.667/K$7</f>
        <v>0</v>
      </c>
      <c r="CJ88" s="53" t="e">
        <f>Seilareal/Lwl/Lwl/SApRS1</f>
        <v>#DIV/0!</v>
      </c>
      <c r="CK88" s="209"/>
      <c r="CL88" s="209" t="e">
        <f>(ROUND(TBF/CL$6,3)*CL$6)*CL$4</f>
        <v>#VALUE!</v>
      </c>
      <c r="CM88" s="110" t="str">
        <f t="shared" si="690"/>
        <v>-</v>
      </c>
      <c r="CN88" s="64" t="str">
        <f>IF(SeilBeregnet=0,"-",(SeilBeregnet)^(1/2)*StHfaktor/(Depl+DeplTillegg/1000+Vann/1000+Diesel/1000*0.84)^(1/3))</f>
        <v>-</v>
      </c>
      <c r="CO88" s="64" t="str">
        <f t="shared" si="659"/>
        <v>-</v>
      </c>
      <c r="CP88" s="64" t="str">
        <f t="shared" si="660"/>
        <v>-</v>
      </c>
      <c r="CQ88" s="110" t="str">
        <f t="shared" si="661"/>
        <v>-</v>
      </c>
      <c r="CR88" s="172" t="str">
        <f t="shared" si="691"/>
        <v>-</v>
      </c>
      <c r="CS88" s="163"/>
      <c r="CT88" s="172" t="e">
        <f t="shared" si="692"/>
        <v>#VALUE!</v>
      </c>
      <c r="CU88" s="163">
        <f>CU87</f>
        <v>1.38</v>
      </c>
      <c r="CV88" s="195" t="s">
        <v>145</v>
      </c>
      <c r="CW88" s="64" t="s">
        <v>111</v>
      </c>
      <c r="CX88" s="64" t="s">
        <v>111</v>
      </c>
      <c r="CY88" s="64" t="s">
        <v>111</v>
      </c>
      <c r="CZ88" s="154" t="s">
        <v>111</v>
      </c>
      <c r="DA88" s="64" t="str">
        <f t="shared" si="664"/>
        <v>-</v>
      </c>
      <c r="DB88" s="49">
        <f t="shared" si="665"/>
        <v>210</v>
      </c>
      <c r="DC88" s="50">
        <f t="shared" si="666"/>
        <v>0</v>
      </c>
      <c r="DE88" s="110" t="str">
        <f>IF(SeilBeregnet=0,"-",DE$7*(DG:DG+DE$6)*DL:DL*PropF+ErfaringsF+Dyp_F)</f>
        <v>-</v>
      </c>
      <c r="DF88" s="144" t="str">
        <f t="shared" si="805"/>
        <v>-</v>
      </c>
      <c r="DG88" s="110">
        <f t="shared" si="668"/>
        <v>5.13234699250388</v>
      </c>
      <c r="DH88" s="136">
        <f>IF(SeilBeregnet=0,DH87,(SeilBeregnet^0.5/(Depl^0.3333))^DH$3*DH$7)</f>
        <v>3.2677440358274423</v>
      </c>
      <c r="DI88" s="136">
        <f>IF(SeilBeregnet=0,DI87,(SeilBeregnet^0.5/Lwl)^DI$3*DI$7)</f>
        <v>0</v>
      </c>
      <c r="DJ88" s="136">
        <f>IF(SeilBeregnet=0,DJ87,(0.1*Loa/Depl^0.3333)^DJ$3*DJ$7)</f>
        <v>0</v>
      </c>
      <c r="DK88" s="136">
        <f>IF(SeilBeregnet=0,DK87,((Loa)/Bredde)^DK$3*DK$7)</f>
        <v>1.8646029566764373</v>
      </c>
      <c r="DL88" s="110">
        <f>IF(SeilBeregnet=0,DL87,(Lwl)^DL$3)</f>
        <v>1.8859172433475835</v>
      </c>
      <c r="DM88" s="136">
        <f>IF(SeilBeregnet=0,DM87,(Dypg/Loa)^DM$3*5*DM$7)</f>
        <v>2.0446520502738266</v>
      </c>
      <c r="DO88" s="110" t="str">
        <f t="shared" si="669"/>
        <v>-</v>
      </c>
      <c r="DP88" s="110" t="str">
        <f t="shared" si="670"/>
        <v>-</v>
      </c>
      <c r="DR88" s="110" t="str">
        <f t="shared" si="671"/>
        <v>-</v>
      </c>
      <c r="DS88" s="125" t="str">
        <f t="shared" si="806"/>
        <v>-</v>
      </c>
      <c r="DT88" s="110" t="str">
        <f t="shared" si="673"/>
        <v>-</v>
      </c>
      <c r="DU88" s="125" t="str">
        <f t="shared" si="807"/>
        <v>-</v>
      </c>
      <c r="DV88" s="110">
        <f>IF(SeilBeregnet=0,DV87,SeilBeregnet^0.5/Depl^0.33333)</f>
        <v>3.2674173884121251</v>
      </c>
      <c r="DW88" s="110">
        <f>IF(SeilBeregnet=0,DW87,Lwl^0.3333)</f>
        <v>2.3298436208665341</v>
      </c>
      <c r="DX88" s="110">
        <f>IF(SeilBeregnet=0,DX87,((Loa+Lwl)/Bredde)^DX$3)</f>
        <v>1.5916961163398649</v>
      </c>
      <c r="DZ88" s="110" t="str">
        <f t="shared" si="675"/>
        <v>-</v>
      </c>
      <c r="EB88" s="110">
        <f>IF(SeilBeregnet=0,EB87,SeilBeregnet^0.5/Depl^0.33333)</f>
        <v>3.2674173884121251</v>
      </c>
      <c r="EC88" s="110">
        <f>IF(SeilBeregnet=0,EC87,Lwl^EC$3)</f>
        <v>2.3300209979525235</v>
      </c>
      <c r="ED88" s="110">
        <f>IF(SeilBeregnet=0,ED87,((Loa+Lwl)/Bredde)^ED$3)</f>
        <v>1.8583176886572534</v>
      </c>
      <c r="EE88" s="110" t="str">
        <f t="shared" si="676"/>
        <v>-</v>
      </c>
      <c r="EG88" s="110">
        <f>IF(SeilBeregnet=0,EG87,(EH88*EI88)^EG$3)</f>
        <v>5.2007355675969231</v>
      </c>
      <c r="EH88" s="110">
        <f>IF(SeilBeregnet=0,EH87,SeilBeregnet^0.5/Depl^0.33333)</f>
        <v>3.2674173884121251</v>
      </c>
      <c r="EI88" s="110">
        <f>IF(SeilBeregnet=0,EI87,((Loa+Lwl)/Bredde)^EI$3)</f>
        <v>1.5916961163398649</v>
      </c>
      <c r="EJ88" s="110">
        <f>IF(SeilBeregnet=0,EJ87,Lwl^EJ$3)</f>
        <v>1.8859172433475835</v>
      </c>
      <c r="EK88" s="110" t="str">
        <f>IF(SeilBeregnet=0,"-",EK$7*(EK$4*EM:EM+EK$6)*EP:EP*PropF+ErfaringsF+Dyp_F)</f>
        <v>-</v>
      </c>
      <c r="EM88" s="110">
        <f>IF(SeilBeregnet=0,EM87,(EN:EN*EO:EO)^EM$3)</f>
        <v>1.8229026655102509</v>
      </c>
      <c r="EN88" s="110">
        <f>IF(SeilBeregnet=0,EN87,SeilBeregnet^0.5/Depl^0.33333)</f>
        <v>3.2674173884121251</v>
      </c>
      <c r="EO88" s="110">
        <f>IF(SeilBeregnet=0,EO87,((Loa+Lwl)/Bredde/6)^EO$3)</f>
        <v>1.0170032575909294</v>
      </c>
      <c r="EP88" s="110">
        <f>IF(SeilBeregnet=0,EP87,(Lwl*0.7+Loa*0.3)^EP$3)</f>
        <v>1.9111244003334622</v>
      </c>
      <c r="EQ88" s="110" t="str">
        <f>IF(SeilBeregnet=0,"-",EQ$7*(ES:ES+EQ$6)*EV:EV*PropF+ErfaringsF+Dyp_F)</f>
        <v>-</v>
      </c>
      <c r="ES88" s="110">
        <f>(ET:ET*EU:EU)^ES$3</f>
        <v>1.8229937820546289</v>
      </c>
      <c r="ET88" s="110">
        <f>IF(SeilBeregnet=0,ET87,SeilBeregnet^0.5/Depl^0.3333)</f>
        <v>3.2677440358274423</v>
      </c>
      <c r="EU88" s="110">
        <f>IF(SeilBeregnet=0,EU87,((Loa+Lwl)/Bredde/6)^EU$3)</f>
        <v>1.0170032575909294</v>
      </c>
      <c r="EV88" s="110">
        <f>IF(SeilBeregnet=0,EV87,(Lwl*0.7+Loa*0.3)^EV$3)</f>
        <v>1.9111244003334622</v>
      </c>
      <c r="EW88" s="110" t="str">
        <f>IF(SeilBeregnet=0,"-",EW$7*(EY:EY+EW$6)*FB:FB*PropF+ErfaringsF+Dyp_F)</f>
        <v>-</v>
      </c>
      <c r="EX88" s="144" t="str">
        <f t="shared" si="808"/>
        <v>-</v>
      </c>
      <c r="EY88" s="110">
        <f>(EZ:EZ*FA:FA)^EY$3</f>
        <v>3.379813362982361</v>
      </c>
      <c r="EZ88" s="136">
        <f>IF(SeilBeregnet=0,EZ87,(SeilBeregnet^0.5/(Depl^0.3333))^EZ$3)</f>
        <v>3.2677440358274423</v>
      </c>
      <c r="FA88" s="136">
        <f>IF(SeilBeregnet=0,FA87,((Loa+Lwl)/Bredde/6)^FA$3)</f>
        <v>1.0342956259505622</v>
      </c>
      <c r="FB88" s="110">
        <f>IF(SeilBeregnet=0,FB87,(Lwl*0.07+Loa*0.03)^FB$3)</f>
        <v>1.0747042278871302</v>
      </c>
      <c r="FC88" s="110" t="str">
        <f>IF(SeilBeregnet=0,"-",FC$7*(FE:FE+FC$6)*FI:FI*PropF+ErfaringsF+Dyp_F)</f>
        <v>-</v>
      </c>
      <c r="FD88" s="144" t="str">
        <f t="shared" si="809"/>
        <v>-</v>
      </c>
      <c r="FE88" s="110">
        <f>(FF:FF+FG:FG+FH:FH)^FE$3+FE$7</f>
        <v>5.4166705817410312</v>
      </c>
      <c r="FF88" s="136">
        <f>IF(SeilBeregnet=0,FF87,(SeilBeregnet^0.5/(Depl^0.3333))^FF$3)</f>
        <v>3.2677440358274423</v>
      </c>
      <c r="FG88" s="136">
        <f>IF(SeilBeregnet=0,FG87,(SeilBeregnet^0.5/Lwl*FG$7)^FG$3)</f>
        <v>0.78432358923715173</v>
      </c>
      <c r="FH88" s="136">
        <f>IF(SeilBeregnet=0,FH87,((Loa)/Bredde)^FH$3*FH$7)</f>
        <v>1.8646029566764373</v>
      </c>
      <c r="FI88" s="110">
        <f>IF(SeilBeregnet=0,FI87,(Lwl)^FI$3)</f>
        <v>1.8859172433475835</v>
      </c>
      <c r="FJ88" s="110" t="str">
        <f>IF(SeilBeregnet=0,"-",FJ$7*(FL:FL+FJ$6)*FO:FO*PropF+ErfaringsF+Dyp_F)</f>
        <v>-</v>
      </c>
      <c r="FK88" s="144" t="str">
        <f t="shared" si="810"/>
        <v>-</v>
      </c>
      <c r="FL88" s="110">
        <f>(FM:FM*FN:FN)^FL$3</f>
        <v>6.0930451908656424</v>
      </c>
      <c r="FM88" s="136">
        <f>IF(SeilBeregnet=0,FM87,(SeilBeregnet^0.5/(Depl^0.3333))^FM$3)</f>
        <v>3.2677440358274423</v>
      </c>
      <c r="FN88" s="136">
        <f>IF(SeilBeregnet=0,FN87,(Loa/Bredde)^FN$3)</f>
        <v>1.8646029566764373</v>
      </c>
      <c r="FO88" s="110">
        <f>IF(SeilBeregnet=0,FO87,Lwl^FO$3)</f>
        <v>1.8859172433475835</v>
      </c>
      <c r="FQ88" s="374">
        <v>1</v>
      </c>
      <c r="FR88" s="64" t="str">
        <f t="shared" si="811"/>
        <v>-</v>
      </c>
      <c r="FS88" s="479"/>
      <c r="FT88" s="18"/>
      <c r="FU88" s="481"/>
      <c r="FV88" s="504"/>
      <c r="FW88" s="18"/>
      <c r="FX88" s="18"/>
      <c r="FY88" s="18"/>
      <c r="FZ88" s="18"/>
      <c r="GB88" s="18"/>
      <c r="GC88" s="481"/>
      <c r="GD88" s="8"/>
      <c r="GE88" s="8"/>
      <c r="GF88" s="8"/>
      <c r="GG88" s="8"/>
      <c r="GI88" s="18"/>
      <c r="GJ88" s="18"/>
      <c r="GK88" s="18"/>
      <c r="GL88" s="18"/>
      <c r="GM88" s="18"/>
      <c r="GN88" s="18"/>
      <c r="GO88" s="18"/>
      <c r="GP88" s="18"/>
    </row>
    <row r="89" spans="1:198" ht="15.6" x14ac:dyDescent="0.3">
      <c r="A89" s="62"/>
      <c r="B89" s="223"/>
      <c r="C89" s="63" t="str">
        <f t="shared" ref="C89" si="820">C88</f>
        <v>Bermuda</v>
      </c>
      <c r="D89" s="63"/>
      <c r="E89" s="63"/>
      <c r="F89" s="63"/>
      <c r="G89" s="56"/>
      <c r="H89" s="209" t="e">
        <f>TBFavrundet</f>
        <v>#VALUE!</v>
      </c>
      <c r="I89" s="65">
        <f>COUNTA(O89:AD89)</f>
        <v>0</v>
      </c>
      <c r="J89" s="228">
        <f>SUM(O89:AD89)</f>
        <v>0</v>
      </c>
      <c r="K89" s="119">
        <f>Seilareal/Depl^0.667/K$7</f>
        <v>0</v>
      </c>
      <c r="L89" s="119" t="e">
        <f>Seilareal/Lwl/Lwl/L$7</f>
        <v>#DIV/0!</v>
      </c>
      <c r="M89" s="95" t="e">
        <f>RiggF</f>
        <v>#DIV/0!</v>
      </c>
      <c r="N89" s="265" t="str">
        <f>StHfaktor</f>
        <v>-</v>
      </c>
      <c r="O89" s="147"/>
      <c r="P89" s="147"/>
      <c r="Q89" s="147"/>
      <c r="R89" s="147"/>
      <c r="S89" s="147"/>
      <c r="T89" s="147"/>
      <c r="U89" s="148"/>
      <c r="V89" s="148"/>
      <c r="W89" s="148"/>
      <c r="X89" s="148"/>
      <c r="Y89" s="147"/>
      <c r="Z89" s="147"/>
      <c r="AA89" s="147"/>
      <c r="AB89" s="147"/>
      <c r="AC89" s="147"/>
      <c r="AD89" s="148"/>
      <c r="AE89" s="260">
        <f t="shared" ref="AE89" si="821">AE88</f>
        <v>0</v>
      </c>
      <c r="AF89" s="375">
        <f t="shared" si="813"/>
        <v>0</v>
      </c>
      <c r="AG89" s="377"/>
      <c r="AH89" s="375">
        <f t="shared" si="813"/>
        <v>0</v>
      </c>
      <c r="AI89" s="377"/>
      <c r="AJ89" s="295" t="str">
        <f t="shared" si="814"/>
        <v>Meter</v>
      </c>
      <c r="AK89" s="47">
        <f>VLOOKUP(AJ89,Skrogform!$1:$1048576,3,FALSE)</f>
        <v>1</v>
      </c>
      <c r="AL89" s="66">
        <f t="shared" ref="AL89:AT89" si="822">AL88</f>
        <v>14</v>
      </c>
      <c r="AM89" s="66">
        <f t="shared" si="822"/>
        <v>0</v>
      </c>
      <c r="AN89" s="66">
        <f t="shared" si="822"/>
        <v>0</v>
      </c>
      <c r="AO89" s="66">
        <f t="shared" si="822"/>
        <v>2.1</v>
      </c>
      <c r="AP89" s="66">
        <f t="shared" si="822"/>
        <v>11</v>
      </c>
      <c r="AQ89" s="66">
        <f t="shared" si="822"/>
        <v>5</v>
      </c>
      <c r="AR89" s="66">
        <f t="shared" si="822"/>
        <v>0</v>
      </c>
      <c r="AS89" s="284">
        <f t="shared" si="822"/>
        <v>0</v>
      </c>
      <c r="AT89" s="284">
        <f t="shared" si="822"/>
        <v>0</v>
      </c>
      <c r="AU89" s="284">
        <f t="shared" ref="AU89:AV89" si="823">AU88</f>
        <v>100</v>
      </c>
      <c r="AV89" s="284">
        <f t="shared" si="823"/>
        <v>100</v>
      </c>
      <c r="AW89" s="284"/>
      <c r="AX89" s="284">
        <f>AX88</f>
        <v>0</v>
      </c>
      <c r="AY89" s="68"/>
      <c r="AZ89" s="68"/>
      <c r="BA89" s="289"/>
      <c r="BB89" s="68"/>
      <c r="BC89" s="179"/>
      <c r="BD89" s="68"/>
      <c r="BE89" s="68"/>
      <c r="BF89" s="67">
        <f t="shared" ref="BF89:BH89" si="824" xml:space="preserve"> BF88</f>
        <v>0</v>
      </c>
      <c r="BG89" s="295">
        <f t="shared" si="824"/>
        <v>0</v>
      </c>
      <c r="BH89" s="295">
        <f t="shared" si="824"/>
        <v>0</v>
      </c>
      <c r="BI89" s="47">
        <f t="shared" si="663"/>
        <v>1</v>
      </c>
      <c r="BJ89" s="61"/>
      <c r="BK89" s="61"/>
      <c r="BM89" s="51">
        <f t="shared" si="818"/>
        <v>0</v>
      </c>
      <c r="BN89" s="51">
        <f t="shared" si="818"/>
        <v>0</v>
      </c>
      <c r="BO89" s="51">
        <f t="shared" si="818"/>
        <v>0</v>
      </c>
      <c r="BP89" s="51">
        <f t="shared" si="818"/>
        <v>0</v>
      </c>
      <c r="BQ89" s="51">
        <f t="shared" si="818"/>
        <v>0</v>
      </c>
      <c r="BR89" s="51">
        <f t="shared" si="818"/>
        <v>0</v>
      </c>
      <c r="BS89" s="52">
        <f>IF(COUNT(P89:T89)&gt;1,MINA(P89:T89)*BS$9,0)</f>
        <v>0</v>
      </c>
      <c r="BT89" s="88">
        <f t="shared" si="819"/>
        <v>0</v>
      </c>
      <c r="BU89" s="88">
        <f t="shared" si="819"/>
        <v>0</v>
      </c>
      <c r="BV89" s="88">
        <f t="shared" si="819"/>
        <v>0</v>
      </c>
      <c r="BW89" s="88">
        <f t="shared" si="819"/>
        <v>0</v>
      </c>
      <c r="BX89" s="88">
        <f t="shared" si="819"/>
        <v>0</v>
      </c>
      <c r="BY89" s="88">
        <f t="shared" si="819"/>
        <v>0</v>
      </c>
      <c r="BZ89" s="88">
        <f t="shared" si="819"/>
        <v>0</v>
      </c>
      <c r="CA89" s="88">
        <f t="shared" si="819"/>
        <v>0</v>
      </c>
      <c r="CB89" s="88">
        <f t="shared" si="819"/>
        <v>0</v>
      </c>
      <c r="CC89" s="88">
        <f t="shared" si="819"/>
        <v>0</v>
      </c>
      <c r="CD89" s="103">
        <f>SUM(BM89:CC89)</f>
        <v>0</v>
      </c>
      <c r="CE89" s="52"/>
      <c r="CF89" s="107">
        <f>J89</f>
        <v>0</v>
      </c>
      <c r="CG89" s="104" t="e">
        <f>CD89/CF89</f>
        <v>#DIV/0!</v>
      </c>
      <c r="CH89" s="53" t="e">
        <f>Seilareal/Lwl/Lwl</f>
        <v>#DIV/0!</v>
      </c>
      <c r="CI89" s="119">
        <f>Seilareal/Depl^0.667/K$7</f>
        <v>0</v>
      </c>
      <c r="CJ89" s="53" t="e">
        <f>Seilareal/Lwl/Lwl/SApRS1</f>
        <v>#DIV/0!</v>
      </c>
      <c r="CK89" s="209"/>
      <c r="CL89" s="209" t="e">
        <f>(ROUND(TBF/CL$6,3)*CL$6)*CL$4</f>
        <v>#VALUE!</v>
      </c>
      <c r="CM89" s="110" t="str">
        <f t="shared" si="690"/>
        <v>-</v>
      </c>
      <c r="CN89" s="64" t="str">
        <f>IF(SeilBeregnet=0,"-",(SeilBeregnet)^(1/2)*StHfaktor/(Depl+DeplTillegg/1000+Vann/1000+Diesel/1000*0.84)^(1/3))</f>
        <v>-</v>
      </c>
      <c r="CO89" s="64" t="str">
        <f t="shared" si="659"/>
        <v>-</v>
      </c>
      <c r="CP89" s="64" t="str">
        <f t="shared" si="660"/>
        <v>-</v>
      </c>
      <c r="CQ89" s="110" t="str">
        <f t="shared" si="661"/>
        <v>-</v>
      </c>
      <c r="CR89" s="172" t="str">
        <f t="shared" si="691"/>
        <v>-</v>
      </c>
      <c r="CS89" s="162"/>
      <c r="CT89" s="172" t="str">
        <f t="shared" si="692"/>
        <v>-</v>
      </c>
      <c r="CU89" s="164"/>
      <c r="CV89" s="195" t="s">
        <v>145</v>
      </c>
      <c r="CW89" s="64" t="s">
        <v>111</v>
      </c>
      <c r="CX89" s="64" t="s">
        <v>111</v>
      </c>
      <c r="CY89" s="64" t="s">
        <v>111</v>
      </c>
      <c r="CZ89" s="154" t="s">
        <v>111</v>
      </c>
      <c r="DA89" s="64" t="str">
        <f t="shared" si="664"/>
        <v>-</v>
      </c>
      <c r="DB89" s="49">
        <f t="shared" si="665"/>
        <v>210</v>
      </c>
      <c r="DC89" s="50">
        <f t="shared" si="666"/>
        <v>0</v>
      </c>
      <c r="DE89" s="110" t="str">
        <f>IF(SeilBeregnet=0,"-",DE$7*(DG:DG+DE$6)*DL:DL*PropF+ErfaringsF+Dyp_F)</f>
        <v>-</v>
      </c>
      <c r="DF89" s="144" t="str">
        <f t="shared" si="805"/>
        <v>-</v>
      </c>
      <c r="DG89" s="110">
        <f t="shared" si="668"/>
        <v>5.13234699250388</v>
      </c>
      <c r="DH89" s="136">
        <f>IF(SeilBeregnet=0,DH88,(SeilBeregnet^0.5/(Depl^0.3333))^DH$3*DH$7)</f>
        <v>3.2677440358274423</v>
      </c>
      <c r="DI89" s="136">
        <f>IF(SeilBeregnet=0,DI88,(SeilBeregnet^0.5/Lwl)^DI$3*DI$7)</f>
        <v>0</v>
      </c>
      <c r="DJ89" s="136">
        <f>IF(SeilBeregnet=0,DJ88,(0.1*Loa/Depl^0.3333)^DJ$3*DJ$7)</f>
        <v>0</v>
      </c>
      <c r="DK89" s="136">
        <f>IF(SeilBeregnet=0,DK88,((Loa)/Bredde)^DK$3*DK$7)</f>
        <v>1.8646029566764373</v>
      </c>
      <c r="DL89" s="110">
        <f>IF(SeilBeregnet=0,DL88,(Lwl)^DL$3)</f>
        <v>1.8859172433475835</v>
      </c>
      <c r="DM89" s="136">
        <f>IF(SeilBeregnet=0,DM88,(Dypg/Loa)^DM$3*5*DM$7)</f>
        <v>2.0446520502738266</v>
      </c>
      <c r="DO89" s="110" t="str">
        <f t="shared" si="669"/>
        <v>-</v>
      </c>
      <c r="DP89" s="110" t="str">
        <f t="shared" si="670"/>
        <v>-</v>
      </c>
      <c r="DR89" s="110" t="str">
        <f t="shared" si="671"/>
        <v>-</v>
      </c>
      <c r="DS89" s="125" t="str">
        <f t="shared" si="806"/>
        <v>-</v>
      </c>
      <c r="DT89" s="110" t="str">
        <f t="shared" si="673"/>
        <v>-</v>
      </c>
      <c r="DU89" s="125" t="str">
        <f t="shared" si="807"/>
        <v>-</v>
      </c>
      <c r="DV89" s="110">
        <f>IF(SeilBeregnet=0,DV88,SeilBeregnet^0.5/Depl^0.33333)</f>
        <v>3.2674173884121251</v>
      </c>
      <c r="DW89" s="110">
        <f>IF(SeilBeregnet=0,DW88,Lwl^0.3333)</f>
        <v>2.3298436208665341</v>
      </c>
      <c r="DX89" s="110">
        <f>IF(SeilBeregnet=0,DX88,((Loa+Lwl)/Bredde)^DX$3)</f>
        <v>1.5916961163398649</v>
      </c>
      <c r="DZ89" s="110" t="str">
        <f t="shared" si="675"/>
        <v>-</v>
      </c>
      <c r="EB89" s="110">
        <f>IF(SeilBeregnet=0,EB88,SeilBeregnet^0.5/Depl^0.33333)</f>
        <v>3.2674173884121251</v>
      </c>
      <c r="EC89" s="110">
        <f>IF(SeilBeregnet=0,EC88,Lwl^EC$3)</f>
        <v>2.3300209979525235</v>
      </c>
      <c r="ED89" s="110">
        <f>IF(SeilBeregnet=0,ED88,((Loa+Lwl)/Bredde)^ED$3)</f>
        <v>1.8583176886572534</v>
      </c>
      <c r="EE89" s="110" t="str">
        <f t="shared" si="676"/>
        <v>-</v>
      </c>
      <c r="EG89" s="110">
        <f>IF(SeilBeregnet=0,EG88,(EH89*EI89)^EG$3)</f>
        <v>5.2007355675969231</v>
      </c>
      <c r="EH89" s="110">
        <f>IF(SeilBeregnet=0,EH88,SeilBeregnet^0.5/Depl^0.33333)</f>
        <v>3.2674173884121251</v>
      </c>
      <c r="EI89" s="110">
        <f>IF(SeilBeregnet=0,EI88,((Loa+Lwl)/Bredde)^EI$3)</f>
        <v>1.5916961163398649</v>
      </c>
      <c r="EJ89" s="110">
        <f>IF(SeilBeregnet=0,EJ88,Lwl^EJ$3)</f>
        <v>1.8859172433475835</v>
      </c>
      <c r="EK89" s="110" t="str">
        <f>IF(SeilBeregnet=0,"-",EK$7*(EK$4*EM:EM+EK$6)*EP:EP*PropF+ErfaringsF+Dyp_F)</f>
        <v>-</v>
      </c>
      <c r="EM89" s="110">
        <f>IF(SeilBeregnet=0,EM88,(EN:EN*EO:EO)^EM$3)</f>
        <v>1.8229026655102509</v>
      </c>
      <c r="EN89" s="110">
        <f>IF(SeilBeregnet=0,EN88,SeilBeregnet^0.5/Depl^0.33333)</f>
        <v>3.2674173884121251</v>
      </c>
      <c r="EO89" s="110">
        <f>IF(SeilBeregnet=0,EO88,((Loa+Lwl)/Bredde/6)^EO$3)</f>
        <v>1.0170032575909294</v>
      </c>
      <c r="EP89" s="110">
        <f>IF(SeilBeregnet=0,EP88,(Lwl*0.7+Loa*0.3)^EP$3)</f>
        <v>1.9111244003334622</v>
      </c>
      <c r="EQ89" s="110" t="str">
        <f>IF(SeilBeregnet=0,"-",EQ$7*(ES:ES+EQ$6)*EV:EV*PropF+ErfaringsF+Dyp_F)</f>
        <v>-</v>
      </c>
      <c r="ES89" s="110">
        <f>(ET:ET*EU:EU)^ES$3</f>
        <v>1.8229937820546289</v>
      </c>
      <c r="ET89" s="110">
        <f>IF(SeilBeregnet=0,ET88,SeilBeregnet^0.5/Depl^0.3333)</f>
        <v>3.2677440358274423</v>
      </c>
      <c r="EU89" s="110">
        <f>IF(SeilBeregnet=0,EU88,((Loa+Lwl)/Bredde/6)^EU$3)</f>
        <v>1.0170032575909294</v>
      </c>
      <c r="EV89" s="110">
        <f>IF(SeilBeregnet=0,EV88,(Lwl*0.7+Loa*0.3)^EV$3)</f>
        <v>1.9111244003334622</v>
      </c>
      <c r="EW89" s="110" t="str">
        <f>IF(SeilBeregnet=0,"-",EW$7*(EY:EY+EW$6)*FB:FB*PropF+ErfaringsF+Dyp_F)</f>
        <v>-</v>
      </c>
      <c r="EX89" s="144" t="str">
        <f t="shared" si="808"/>
        <v>-</v>
      </c>
      <c r="EY89" s="110">
        <f>(EZ:EZ*FA:FA)^EY$3</f>
        <v>3.379813362982361</v>
      </c>
      <c r="EZ89" s="136">
        <f>IF(SeilBeregnet=0,EZ88,(SeilBeregnet^0.5/(Depl^0.3333))^EZ$3)</f>
        <v>3.2677440358274423</v>
      </c>
      <c r="FA89" s="136">
        <f>IF(SeilBeregnet=0,FA88,((Loa+Lwl)/Bredde/6)^FA$3)</f>
        <v>1.0342956259505622</v>
      </c>
      <c r="FB89" s="110">
        <f>IF(SeilBeregnet=0,FB88,(Lwl*0.07+Loa*0.03)^FB$3)</f>
        <v>1.0747042278871302</v>
      </c>
      <c r="FC89" s="110" t="str">
        <f>IF(SeilBeregnet=0,"-",FC$7*(FE:FE+FC$6)*FI:FI*PropF+ErfaringsF+Dyp_F)</f>
        <v>-</v>
      </c>
      <c r="FD89" s="144" t="str">
        <f t="shared" si="809"/>
        <v>-</v>
      </c>
      <c r="FE89" s="110">
        <f>(FF:FF+FG:FG+FH:FH)^FE$3+FE$7</f>
        <v>5.4166705817410312</v>
      </c>
      <c r="FF89" s="136">
        <f>IF(SeilBeregnet=0,FF88,(SeilBeregnet^0.5/(Depl^0.3333))^FF$3)</f>
        <v>3.2677440358274423</v>
      </c>
      <c r="FG89" s="136">
        <f>IF(SeilBeregnet=0,FG88,(SeilBeregnet^0.5/Lwl*FG$7)^FG$3)</f>
        <v>0.78432358923715173</v>
      </c>
      <c r="FH89" s="136">
        <f>IF(SeilBeregnet=0,FH88,((Loa)/Bredde)^FH$3*FH$7)</f>
        <v>1.8646029566764373</v>
      </c>
      <c r="FI89" s="110">
        <f>IF(SeilBeregnet=0,FI88,(Lwl)^FI$3)</f>
        <v>1.8859172433475835</v>
      </c>
      <c r="FJ89" s="110" t="str">
        <f>IF(SeilBeregnet=0,"-",FJ$7*(FL:FL+FJ$6)*FO:FO*PropF+ErfaringsF+Dyp_F)</f>
        <v>-</v>
      </c>
      <c r="FK89" s="144" t="str">
        <f t="shared" si="810"/>
        <v>-</v>
      </c>
      <c r="FL89" s="110">
        <f>(FM:FM*FN:FN)^FL$3</f>
        <v>6.0930451908656424</v>
      </c>
      <c r="FM89" s="136">
        <f>IF(SeilBeregnet=0,FM88,(SeilBeregnet^0.5/(Depl^0.3333))^FM$3)</f>
        <v>3.2677440358274423</v>
      </c>
      <c r="FN89" s="136">
        <f>IF(SeilBeregnet=0,FN88,(Loa/Bredde)^FN$3)</f>
        <v>1.8646029566764373</v>
      </c>
      <c r="FO89" s="110">
        <f>IF(SeilBeregnet=0,FO88,Lwl^FO$3)</f>
        <v>1.8859172433475835</v>
      </c>
      <c r="FQ89" s="374">
        <v>1</v>
      </c>
      <c r="FR89" s="64" t="str">
        <f t="shared" si="811"/>
        <v>-</v>
      </c>
      <c r="FS89" s="479"/>
      <c r="FT89" s="18"/>
      <c r="FU89" s="481"/>
      <c r="FV89" s="504"/>
      <c r="FW89" s="18"/>
      <c r="FX89" s="18"/>
      <c r="FY89" s="18"/>
      <c r="FZ89" s="18"/>
      <c r="GB89" s="18"/>
      <c r="GC89" s="481"/>
      <c r="GD89" s="8"/>
      <c r="GE89" s="8"/>
      <c r="GF89" s="8"/>
      <c r="GG89" s="8"/>
      <c r="GI89" s="18"/>
      <c r="GJ89" s="18"/>
      <c r="GK89" s="18"/>
      <c r="GL89" s="18"/>
      <c r="GM89" s="18"/>
      <c r="GN89" s="18"/>
      <c r="GO89" s="18"/>
      <c r="GP89" s="18"/>
    </row>
    <row r="90" spans="1:198" ht="15.6" x14ac:dyDescent="0.3">
      <c r="A90" s="54" t="s">
        <v>297</v>
      </c>
      <c r="B90" s="223">
        <f t="shared" si="199"/>
        <v>52.001312335958005</v>
      </c>
      <c r="C90" s="55" t="s">
        <v>41</v>
      </c>
      <c r="D90" s="55"/>
      <c r="E90" s="55"/>
      <c r="F90" s="55"/>
      <c r="G90" s="56"/>
      <c r="H90" s="209"/>
      <c r="I90" s="126" t="str">
        <f>A90</f>
        <v>Solgang IV</v>
      </c>
      <c r="J90" s="229"/>
      <c r="K90" s="119"/>
      <c r="L90" s="119"/>
      <c r="M90" s="95"/>
      <c r="N90" s="265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270"/>
      <c r="AF90" s="296"/>
      <c r="AG90" s="377"/>
      <c r="AH90" s="296"/>
      <c r="AI90" s="377"/>
      <c r="AJ90" s="296" t="s">
        <v>240</v>
      </c>
      <c r="AK90" s="47">
        <f>VLOOKUP(AJ90,Skrogform!$1:$1048576,3,FALSE)</f>
        <v>1</v>
      </c>
      <c r="AL90" s="57">
        <v>15.85</v>
      </c>
      <c r="AM90" s="57"/>
      <c r="AN90" s="57"/>
      <c r="AO90" s="57"/>
      <c r="AP90" s="57">
        <v>19</v>
      </c>
      <c r="AQ90" s="57"/>
      <c r="AR90" s="57"/>
      <c r="AS90" s="281"/>
      <c r="AT90" s="282">
        <f>AS90*7</f>
        <v>0</v>
      </c>
      <c r="AU90" s="281">
        <f>ROUND(Depl*10,-2)</f>
        <v>200</v>
      </c>
      <c r="AV90" s="281">
        <f>ROUND(Depl*10,-2)</f>
        <v>200</v>
      </c>
      <c r="AW90" s="270">
        <f>Depl+Diesel/1000+Vann/1000</f>
        <v>19.399999999999999</v>
      </c>
      <c r="AX90" s="281"/>
      <c r="AY90" s="98">
        <f>Bredde/(Loa+Lwl)*2</f>
        <v>0</v>
      </c>
      <c r="AZ90" s="98">
        <f>(Kjøl+Ballast)/Depl</f>
        <v>0</v>
      </c>
      <c r="BA90" s="288" t="e">
        <f>BA$7*((Depl-Kjøl-Ballast-VektMotor/1000-VektAnnet/1000)/Loa/Lwl/Bredde)</f>
        <v>#DIV/0!</v>
      </c>
      <c r="BB90" s="98" t="e">
        <f>BB$7*(Depl/Loa/Lwl/Lwl)</f>
        <v>#DIV/0!</v>
      </c>
      <c r="BC90" s="178" t="e">
        <f>BC$7*(Depl/Loa/Lwl/Bredde)</f>
        <v>#DIV/0!</v>
      </c>
      <c r="BD90" s="98">
        <f>BD$7*Bredde/(Loa+Lwl)*2</f>
        <v>0</v>
      </c>
      <c r="BE90" s="98" t="e">
        <f>BE$7*(Dypg/Lwl)</f>
        <v>#DIV/0!</v>
      </c>
      <c r="BF90" s="58"/>
      <c r="BG90" s="296"/>
      <c r="BH90" s="296"/>
      <c r="BI90" s="47">
        <f t="shared" si="663"/>
        <v>1</v>
      </c>
      <c r="BJ90" s="61"/>
      <c r="BK90" s="61"/>
      <c r="BM90" s="214"/>
      <c r="BN90" s="214" t="str">
        <f>$A90</f>
        <v>Solgang IV</v>
      </c>
      <c r="BO90" s="10"/>
      <c r="BP90" s="10"/>
      <c r="BQ90" s="10"/>
      <c r="BR90" s="10"/>
      <c r="BS90" s="52"/>
      <c r="BT90" s="214" t="str">
        <f>$A90</f>
        <v>Solgang IV</v>
      </c>
      <c r="BU90" s="10"/>
      <c r="BV90" s="10"/>
      <c r="BW90" s="10"/>
      <c r="BX90" s="10"/>
      <c r="BY90" s="10"/>
      <c r="BZ90" s="10"/>
      <c r="CA90" s="10"/>
      <c r="CB90" s="10"/>
      <c r="CC90" s="10"/>
      <c r="CD90" s="214"/>
      <c r="CE90" s="10"/>
      <c r="CF90" s="214" t="str">
        <f>$A90</f>
        <v>Solgang IV</v>
      </c>
      <c r="CG90" s="212"/>
      <c r="CH90" s="212"/>
      <c r="CI90" s="119"/>
      <c r="CJ90" s="212"/>
      <c r="CK90" s="208"/>
      <c r="CL90" s="208" t="s">
        <v>26</v>
      </c>
      <c r="CM90" s="110" t="str">
        <f t="shared" si="690"/>
        <v>-</v>
      </c>
      <c r="CN90" s="64" t="str">
        <f>IF(SeilBeregnet=0,"-",(SeilBeregnet)^(1/2)*StHfaktor/(Depl+DeplTillegg/1000+Vann/1000+Diesel/1000*0.84)^(1/3))</f>
        <v>-</v>
      </c>
      <c r="CO90" s="64" t="str">
        <f t="shared" si="659"/>
        <v>-</v>
      </c>
      <c r="CP90" s="64" t="str">
        <f t="shared" si="660"/>
        <v>-</v>
      </c>
      <c r="CQ90" s="110" t="str">
        <f t="shared" si="661"/>
        <v>-</v>
      </c>
      <c r="CR90" s="172" t="str">
        <f t="shared" si="691"/>
        <v>-</v>
      </c>
      <c r="CS90" s="162"/>
      <c r="CT90" s="172" t="str">
        <f t="shared" si="692"/>
        <v>-</v>
      </c>
      <c r="CU90" s="164">
        <v>1.37</v>
      </c>
      <c r="CV90" s="195" t="s">
        <v>145</v>
      </c>
      <c r="CW90" s="30" t="s">
        <v>26</v>
      </c>
      <c r="CX90" s="30" t="s">
        <v>26</v>
      </c>
      <c r="CY90" s="30" t="s">
        <v>26</v>
      </c>
      <c r="CZ90" s="153">
        <v>2022</v>
      </c>
      <c r="DA90" s="64" t="str">
        <f t="shared" si="664"/>
        <v>-</v>
      </c>
      <c r="DB90" s="49">
        <f t="shared" si="665"/>
        <v>0</v>
      </c>
      <c r="DC90" s="50">
        <f t="shared" si="666"/>
        <v>0</v>
      </c>
      <c r="DE90" s="110" t="str">
        <f>IF(SeilBeregnet=0,"-",DE$7*(DG:DG+DE$6)*DL:DL*PropF+ErfaringsF+Dyp_F)</f>
        <v>-</v>
      </c>
      <c r="DF90" s="144" t="str">
        <f t="shared" si="805"/>
        <v>-</v>
      </c>
      <c r="DG90" s="110">
        <f t="shared" si="668"/>
        <v>4.8384833931905202</v>
      </c>
      <c r="DH90" s="136">
        <f>IF(SeilBeregnet=0,DH30,(SeilBeregnet^0.5/(Depl^0.3333))^DH$3*DH$7)</f>
        <v>3.0614367599132435</v>
      </c>
      <c r="DI90" s="136">
        <f>IF(SeilBeregnet=0,DI30,(SeilBeregnet^0.5/Lwl)^DI$3*DI$7)</f>
        <v>0</v>
      </c>
      <c r="DJ90" s="136">
        <f>IF(SeilBeregnet=0,DJ30,(0.1*Loa/Depl^0.3333)^DJ$3*DJ$7)</f>
        <v>0</v>
      </c>
      <c r="DK90" s="136">
        <f>IF(SeilBeregnet=0,DK30,((Loa)/Bredde)^DK$3*DK$7)</f>
        <v>1.7770466332772772</v>
      </c>
      <c r="DL90" s="110">
        <f>IF(SeilBeregnet=0,DL30,(Lwl)^DL$3)</f>
        <v>1.8334522799337654</v>
      </c>
      <c r="DM90" s="136">
        <f>IF(SeilBeregnet=0,DM30,(Dypg/Loa)^DM$3*5*DM$7)</f>
        <v>2.0916500663351889</v>
      </c>
      <c r="DO90" s="110" t="str">
        <f t="shared" si="669"/>
        <v>-</v>
      </c>
      <c r="DP90" s="110" t="str">
        <f t="shared" si="670"/>
        <v>-</v>
      </c>
      <c r="DR90" s="110" t="str">
        <f t="shared" si="671"/>
        <v>-</v>
      </c>
      <c r="DS90" s="125" t="str">
        <f t="shared" si="806"/>
        <v>-</v>
      </c>
      <c r="DT90" s="110" t="str">
        <f t="shared" si="673"/>
        <v>-</v>
      </c>
      <c r="DU90" s="125" t="str">
        <f t="shared" si="807"/>
        <v>-</v>
      </c>
      <c r="DV90" s="110">
        <f>IF(SeilBeregnet=0,DV30,SeilBeregnet^0.5/Depl^0.33333)</f>
        <v>3.0611821273522284</v>
      </c>
      <c r="DW90" s="110">
        <f>IF(SeilBeregnet=0,DW30,Lwl^0.3333)</f>
        <v>2.2438356573015867</v>
      </c>
      <c r="DX90" s="110">
        <f>IF(SeilBeregnet=0,DX30,((Loa+Lwl)/Bredde)^DX$3)</f>
        <v>1.5735954135403782</v>
      </c>
      <c r="DZ90" s="110" t="str">
        <f t="shared" si="675"/>
        <v>-</v>
      </c>
      <c r="EB90" s="110">
        <f>IF(SeilBeregnet=0,EB30,SeilBeregnet^0.5/Depl^0.33333)</f>
        <v>3.0611821273522284</v>
      </c>
      <c r="EC90" s="110">
        <f>IF(SeilBeregnet=0,EC30,Lwl^EC$3)</f>
        <v>2.2439988890031217</v>
      </c>
      <c r="ED90" s="110">
        <f>IF(SeilBeregnet=0,ED30,((Loa+Lwl)/Bredde)^ED$3)</f>
        <v>1.830197069920783</v>
      </c>
      <c r="EE90" s="110" t="str">
        <f t="shared" si="676"/>
        <v>-</v>
      </c>
      <c r="EG90" s="110">
        <f>IF(SeilBeregnet=0,EG30,(EH90*EI90)^EG$3)</f>
        <v>4.8170621556132449</v>
      </c>
      <c r="EH90" s="110">
        <f>IF(SeilBeregnet=0,EH30,SeilBeregnet^0.5/Depl^0.33333)</f>
        <v>3.0611821273522284</v>
      </c>
      <c r="EI90" s="110">
        <f>IF(SeilBeregnet=0,EI30,((Loa+Lwl)/Bredde)^EI$3)</f>
        <v>1.5735954135403782</v>
      </c>
      <c r="EJ90" s="110">
        <f>IF(SeilBeregnet=0,EJ30,Lwl^EJ$3)</f>
        <v>1.8334522799337654</v>
      </c>
      <c r="EK90" s="110" t="str">
        <f>IF(SeilBeregnet=0,"-",EK$7*(EK$4*EM:EM+EK$6)*EP:EP*PropF+ErfaringsF+Dyp_F)</f>
        <v>-</v>
      </c>
      <c r="EM90" s="110">
        <f>IF(SeilBeregnet=0,EM30,(EN:EN*EO:EO)^EM$3)</f>
        <v>1.7543741468269438</v>
      </c>
      <c r="EN90" s="110">
        <f>IF(SeilBeregnet=0,EN30,SeilBeregnet^0.5/Depl^0.33333)</f>
        <v>3.0611821273522284</v>
      </c>
      <c r="EO90" s="110">
        <f>IF(SeilBeregnet=0,EO30,((Loa+Lwl)/Bredde/6)^EO$3)</f>
        <v>1.0054379383551861</v>
      </c>
      <c r="EP90" s="110">
        <f>IF(SeilBeregnet=0,EP30,(Lwl*0.7+Loa*0.3)^EP$3)</f>
        <v>1.8419118031918562</v>
      </c>
      <c r="EQ90" s="110" t="str">
        <f>IF(SeilBeregnet=0,"-",EQ$7*(ES:ES+EQ$6)*EV:EV*PropF+ErfaringsF+Dyp_F)</f>
        <v>-</v>
      </c>
      <c r="ES90" s="110">
        <f>(ET:ET*EU:EU)^ES$3</f>
        <v>1.7544471107137862</v>
      </c>
      <c r="ET90" s="110">
        <f>IF(SeilBeregnet=0,ET30,SeilBeregnet^0.5/Depl^0.3333)</f>
        <v>3.0614367599132435</v>
      </c>
      <c r="EU90" s="110">
        <f>IF(SeilBeregnet=0,EU30,((Loa+Lwl)/Bredde/6)^EU$3)</f>
        <v>1.0054379383551861</v>
      </c>
      <c r="EV90" s="110">
        <f>IF(SeilBeregnet=0,EV30,(Lwl*0.7+Loa*0.3)^EV$3)</f>
        <v>1.8419118031918562</v>
      </c>
      <c r="EW90" s="110" t="str">
        <f>IF(SeilBeregnet=0,"-",EW$7*(EY:EY+EW$6)*FB:FB*PropF+ErfaringsF+Dyp_F)</f>
        <v>-</v>
      </c>
      <c r="EX90" s="144" t="str">
        <f t="shared" si="808"/>
        <v>-</v>
      </c>
      <c r="EY90" s="110">
        <f>(EZ:EZ*FA:FA)^EY$3</f>
        <v>3.0948230989484165</v>
      </c>
      <c r="EZ90" s="136">
        <f>IF(SeilBeregnet=0,EZ30,(SeilBeregnet^0.5/(Depl^0.3333))^EZ$3)</f>
        <v>3.0614367599132435</v>
      </c>
      <c r="FA90" s="136">
        <f>IF(SeilBeregnet=0,FA30,((Loa+Lwl)/Bredde/6)^FA$3)</f>
        <v>1.0109054478839272</v>
      </c>
      <c r="FB90" s="110">
        <f>IF(SeilBeregnet=0,FB30,(Lwl*0.07+Loa*0.03)^FB$3)</f>
        <v>1.0357831242906539</v>
      </c>
      <c r="FC90" s="110" t="str">
        <f>IF(SeilBeregnet=0,"-",FC$7*(FE:FE+FC$6)*FI:FI*PropF+ErfaringsF+Dyp_F)</f>
        <v>-</v>
      </c>
      <c r="FD90" s="144" t="str">
        <f t="shared" si="809"/>
        <v>-</v>
      </c>
      <c r="FE90" s="110">
        <f>(FF:FF+FG:FG+FH:FH)^FE$3+FE$7</f>
        <v>5.0211050135684641</v>
      </c>
      <c r="FF90" s="136">
        <f>IF(SeilBeregnet=0,FF30,(SeilBeregnet^0.5/(Depl^0.3333))^FF$3)</f>
        <v>3.0614367599132435</v>
      </c>
      <c r="FG90" s="136">
        <f>IF(SeilBeregnet=0,FG30,(SeilBeregnet^0.5/Lwl*FG$7)^FG$3)</f>
        <v>0.68262162037794294</v>
      </c>
      <c r="FH90" s="136">
        <f>IF(SeilBeregnet=0,FH30,((Loa)/Bredde)^FH$3*FH$7)</f>
        <v>1.7770466332772772</v>
      </c>
      <c r="FI90" s="110">
        <f>IF(SeilBeregnet=0,FI30,(Lwl)^FI$3)</f>
        <v>1.8334522799337654</v>
      </c>
      <c r="FJ90" s="110" t="str">
        <f>IF(SeilBeregnet=0,"-",FJ$7*(FL:FL+FJ$6)*FO:FO*PropF+ErfaringsF+Dyp_F)</f>
        <v>-</v>
      </c>
      <c r="FK90" s="144" t="str">
        <f t="shared" si="810"/>
        <v>-</v>
      </c>
      <c r="FL90" s="110">
        <f>(FM:FM*FN:FN)^FL$3</f>
        <v>5.4403158871951254</v>
      </c>
      <c r="FM90" s="136">
        <f>IF(SeilBeregnet=0,FM30,(SeilBeregnet^0.5/(Depl^0.3333))^FM$3)</f>
        <v>3.0614367599132435</v>
      </c>
      <c r="FN90" s="136">
        <f>IF(SeilBeregnet=0,FN30,(Loa/Bredde)^FN$3)</f>
        <v>1.7770466332772772</v>
      </c>
      <c r="FO90" s="110">
        <f>IF(SeilBeregnet=0,FO30,Lwl^FO$3)</f>
        <v>1.8334522799337654</v>
      </c>
      <c r="FP90" s="569">
        <v>1.37</v>
      </c>
      <c r="FQ90" s="374">
        <v>1</v>
      </c>
      <c r="FR90" s="64" t="str">
        <f t="shared" si="811"/>
        <v>-</v>
      </c>
      <c r="FS90" s="480" t="s">
        <v>769</v>
      </c>
      <c r="FT90" s="59" t="s">
        <v>84</v>
      </c>
      <c r="FU90" s="475" t="s">
        <v>765</v>
      </c>
      <c r="FV90" s="506" t="s">
        <v>579</v>
      </c>
      <c r="FW90" s="59" t="s">
        <v>770</v>
      </c>
      <c r="FX90" s="59" t="s">
        <v>771</v>
      </c>
      <c r="FY90" s="59" t="s">
        <v>455</v>
      </c>
      <c r="FZ90" s="59" t="s">
        <v>518</v>
      </c>
      <c r="GB90" s="59" t="s">
        <v>772</v>
      </c>
      <c r="GC90" s="475" t="s">
        <v>522</v>
      </c>
      <c r="GD90" s="60" t="s">
        <v>522</v>
      </c>
      <c r="GE90" s="60" t="s">
        <v>522</v>
      </c>
      <c r="GF90" s="60" t="s">
        <v>522</v>
      </c>
      <c r="GG90" s="60" t="s">
        <v>522</v>
      </c>
      <c r="GI90" s="59" t="s">
        <v>234</v>
      </c>
      <c r="GJ90" s="59" t="s">
        <v>773</v>
      </c>
      <c r="GK90" s="59"/>
      <c r="GL90" s="59"/>
      <c r="GM90" s="59"/>
      <c r="GN90" s="59" t="s">
        <v>470</v>
      </c>
      <c r="GO90" s="59" t="s">
        <v>477</v>
      </c>
      <c r="GP90" s="59" t="s">
        <v>522</v>
      </c>
    </row>
    <row r="91" spans="1:198" ht="15.6" x14ac:dyDescent="0.3">
      <c r="A91" s="62" t="s">
        <v>36</v>
      </c>
      <c r="B91" s="223"/>
      <c r="C91" s="63" t="str">
        <f>C90</f>
        <v>Bermuda</v>
      </c>
      <c r="D91" s="63"/>
      <c r="E91" s="63"/>
      <c r="F91" s="63"/>
      <c r="G91" s="56"/>
      <c r="H91" s="209" t="e">
        <f>TBFavrundet</f>
        <v>#VALUE!</v>
      </c>
      <c r="I91" s="65">
        <f>COUNTA(O91:AD91)</f>
        <v>0</v>
      </c>
      <c r="J91" s="228">
        <f>SUM(O91:AD91)</f>
        <v>0</v>
      </c>
      <c r="K91" s="119">
        <f>Seilareal/Depl^0.667/K$7</f>
        <v>0</v>
      </c>
      <c r="L91" s="119" t="e">
        <f>Seilareal/Lwl/Lwl/L$7</f>
        <v>#DIV/0!</v>
      </c>
      <c r="M91" s="95" t="e">
        <f>RiggF</f>
        <v>#DIV/0!</v>
      </c>
      <c r="N91" s="265" t="str">
        <f>StHfaktor</f>
        <v>-</v>
      </c>
      <c r="O91" s="147"/>
      <c r="P91" s="147"/>
      <c r="Q91" s="147"/>
      <c r="R91" s="147"/>
      <c r="S91" s="147"/>
      <c r="T91" s="147"/>
      <c r="U91" s="148"/>
      <c r="V91" s="148"/>
      <c r="W91" s="148"/>
      <c r="X91" s="148"/>
      <c r="Y91" s="147"/>
      <c r="Z91" s="147"/>
      <c r="AA91" s="147"/>
      <c r="AB91" s="147"/>
      <c r="AC91" s="147"/>
      <c r="AD91" s="148"/>
      <c r="AE91" s="260">
        <f t="shared" ref="AE91" si="825">AE90</f>
        <v>0</v>
      </c>
      <c r="AF91" s="375">
        <f t="shared" ref="AF91:AH92" si="826" xml:space="preserve"> AF90</f>
        <v>0</v>
      </c>
      <c r="AG91" s="377"/>
      <c r="AH91" s="375">
        <f t="shared" si="826"/>
        <v>0</v>
      </c>
      <c r="AI91" s="377"/>
      <c r="AJ91" s="295" t="str">
        <f t="shared" ref="AJ91:AJ92" si="827" xml:space="preserve"> AJ90</f>
        <v>Meter</v>
      </c>
      <c r="AK91" s="47">
        <f>VLOOKUP(AJ91,Skrogform!$1:$1048576,3,FALSE)</f>
        <v>1</v>
      </c>
      <c r="AL91" s="66">
        <f t="shared" ref="AL91:AT91" si="828">AL90</f>
        <v>15.85</v>
      </c>
      <c r="AM91" s="66">
        <f t="shared" si="828"/>
        <v>0</v>
      </c>
      <c r="AN91" s="66">
        <f t="shared" si="828"/>
        <v>0</v>
      </c>
      <c r="AO91" s="66">
        <f t="shared" si="828"/>
        <v>0</v>
      </c>
      <c r="AP91" s="66">
        <f t="shared" si="828"/>
        <v>19</v>
      </c>
      <c r="AQ91" s="66">
        <f t="shared" si="828"/>
        <v>0</v>
      </c>
      <c r="AR91" s="66">
        <f t="shared" si="828"/>
        <v>0</v>
      </c>
      <c r="AS91" s="284">
        <f t="shared" si="828"/>
        <v>0</v>
      </c>
      <c r="AT91" s="284">
        <f t="shared" si="828"/>
        <v>0</v>
      </c>
      <c r="AU91" s="284">
        <f t="shared" ref="AU91:AV91" si="829">AU90</f>
        <v>200</v>
      </c>
      <c r="AV91" s="284">
        <f t="shared" si="829"/>
        <v>200</v>
      </c>
      <c r="AW91" s="284"/>
      <c r="AX91" s="284">
        <f>AX90</f>
        <v>0</v>
      </c>
      <c r="AY91" s="68"/>
      <c r="AZ91" s="68"/>
      <c r="BA91" s="289"/>
      <c r="BB91" s="68"/>
      <c r="BC91" s="179"/>
      <c r="BD91" s="68"/>
      <c r="BE91" s="68"/>
      <c r="BF91" s="67">
        <f t="shared" ref="BF91:BH91" si="830" xml:space="preserve"> BF90</f>
        <v>0</v>
      </c>
      <c r="BG91" s="295">
        <f t="shared" si="830"/>
        <v>0</v>
      </c>
      <c r="BH91" s="295">
        <f t="shared" si="830"/>
        <v>0</v>
      </c>
      <c r="BI91" s="47">
        <f t="shared" si="663"/>
        <v>1</v>
      </c>
      <c r="BJ91" s="61"/>
      <c r="BK91" s="61"/>
      <c r="BM91" s="51">
        <f t="shared" ref="BM91:BR92" si="831">IF(O91=0,0,O91*BM$9)</f>
        <v>0</v>
      </c>
      <c r="BN91" s="51">
        <f t="shared" si="831"/>
        <v>0</v>
      </c>
      <c r="BO91" s="51">
        <f t="shared" si="831"/>
        <v>0</v>
      </c>
      <c r="BP91" s="51">
        <f t="shared" si="831"/>
        <v>0</v>
      </c>
      <c r="BQ91" s="51">
        <f t="shared" si="831"/>
        <v>0</v>
      </c>
      <c r="BR91" s="51">
        <f t="shared" si="831"/>
        <v>0</v>
      </c>
      <c r="BS91" s="52">
        <f>IF(COUNT(P91:T91)&gt;1,MINA(P91:T91)*BS$9,0)</f>
        <v>0</v>
      </c>
      <c r="BT91" s="88">
        <f t="shared" ref="BT91:CC92" si="832">IF(U91=0,0,U91*BT$9)</f>
        <v>0</v>
      </c>
      <c r="BU91" s="88">
        <f t="shared" si="832"/>
        <v>0</v>
      </c>
      <c r="BV91" s="88">
        <f t="shared" si="832"/>
        <v>0</v>
      </c>
      <c r="BW91" s="88">
        <f t="shared" si="832"/>
        <v>0</v>
      </c>
      <c r="BX91" s="88">
        <f t="shared" si="832"/>
        <v>0</v>
      </c>
      <c r="BY91" s="88">
        <f t="shared" si="832"/>
        <v>0</v>
      </c>
      <c r="BZ91" s="88">
        <f t="shared" si="832"/>
        <v>0</v>
      </c>
      <c r="CA91" s="88">
        <f t="shared" si="832"/>
        <v>0</v>
      </c>
      <c r="CB91" s="88">
        <f t="shared" si="832"/>
        <v>0</v>
      </c>
      <c r="CC91" s="88">
        <f t="shared" si="832"/>
        <v>0</v>
      </c>
      <c r="CD91" s="103">
        <f>SUM(BM91:CC91)</f>
        <v>0</v>
      </c>
      <c r="CE91" s="52"/>
      <c r="CF91" s="107">
        <f>J91</f>
        <v>0</v>
      </c>
      <c r="CG91" s="104" t="e">
        <f>CD91/CF91</f>
        <v>#DIV/0!</v>
      </c>
      <c r="CH91" s="53" t="e">
        <f>Seilareal/Lwl/Lwl</f>
        <v>#DIV/0!</v>
      </c>
      <c r="CI91" s="119">
        <f>Seilareal/Depl^0.667/K$7</f>
        <v>0</v>
      </c>
      <c r="CJ91" s="53" t="e">
        <f>Seilareal/Lwl/Lwl/SApRS1</f>
        <v>#DIV/0!</v>
      </c>
      <c r="CK91" s="209"/>
      <c r="CL91" s="209" t="e">
        <f>(ROUND(TBF/CL$6,3)*CL$6)*CL$4</f>
        <v>#VALUE!</v>
      </c>
      <c r="CM91" s="110" t="str">
        <f t="shared" si="690"/>
        <v>-</v>
      </c>
      <c r="CN91" s="64" t="str">
        <f>IF(SeilBeregnet=0,"-",(SeilBeregnet)^(1/2)*StHfaktor/(Depl+DeplTillegg/1000+Vann/1000+Diesel/1000*0.84)^(1/3))</f>
        <v>-</v>
      </c>
      <c r="CO91" s="64" t="str">
        <f t="shared" si="659"/>
        <v>-</v>
      </c>
      <c r="CP91" s="64" t="str">
        <f t="shared" si="660"/>
        <v>-</v>
      </c>
      <c r="CQ91" s="110" t="str">
        <f t="shared" si="661"/>
        <v>-</v>
      </c>
      <c r="CR91" s="172" t="str">
        <f t="shared" si="691"/>
        <v>-</v>
      </c>
      <c r="CS91" s="163">
        <f>CS90</f>
        <v>0</v>
      </c>
      <c r="CT91" s="172">
        <f>CT$7*CU91</f>
        <v>1.0575438596491229</v>
      </c>
      <c r="CU91" s="163">
        <f>CU90</f>
        <v>1.37</v>
      </c>
      <c r="CV91" s="195" t="s">
        <v>145</v>
      </c>
      <c r="CW91" s="64" t="s">
        <v>111</v>
      </c>
      <c r="CX91" s="64" t="s">
        <v>111</v>
      </c>
      <c r="CY91" s="64" t="s">
        <v>111</v>
      </c>
      <c r="CZ91" s="154" t="s">
        <v>111</v>
      </c>
      <c r="DA91" s="64" t="str">
        <f t="shared" si="664"/>
        <v>-</v>
      </c>
      <c r="DB91" s="49">
        <f t="shared" si="665"/>
        <v>0</v>
      </c>
      <c r="DC91" s="50">
        <f t="shared" si="666"/>
        <v>0</v>
      </c>
      <c r="DE91" s="110" t="str">
        <f>IF(SeilBeregnet=0,"-",DE$7*(DG:DG+DE$6)*DL:DL*PropF+ErfaringsF+Dyp_F)</f>
        <v>-</v>
      </c>
      <c r="DF91" s="144" t="str">
        <f t="shared" si="805"/>
        <v>-</v>
      </c>
      <c r="DG91" s="110">
        <f t="shared" si="668"/>
        <v>4.8384833931905202</v>
      </c>
      <c r="DH91" s="136">
        <f>IF(SeilBeregnet=0,DH90,(SeilBeregnet^0.5/(Depl^0.3333))^DH$3*DH$7)</f>
        <v>3.0614367599132435</v>
      </c>
      <c r="DI91" s="136">
        <f>IF(SeilBeregnet=0,DI90,(SeilBeregnet^0.5/Lwl)^DI$3*DI$7)</f>
        <v>0</v>
      </c>
      <c r="DJ91" s="136">
        <f>IF(SeilBeregnet=0,DJ90,(0.1*Loa/Depl^0.3333)^DJ$3*DJ$7)</f>
        <v>0</v>
      </c>
      <c r="DK91" s="136">
        <f>IF(SeilBeregnet=0,DK90,((Loa)/Bredde)^DK$3*DK$7)</f>
        <v>1.7770466332772772</v>
      </c>
      <c r="DL91" s="110">
        <f>IF(SeilBeregnet=0,DL90,(Lwl)^DL$3)</f>
        <v>1.8334522799337654</v>
      </c>
      <c r="DM91" s="136">
        <f>IF(SeilBeregnet=0,DM90,(Dypg/Loa)^DM$3*5*DM$7)</f>
        <v>2.0916500663351889</v>
      </c>
      <c r="DO91" s="110" t="str">
        <f t="shared" si="669"/>
        <v>-</v>
      </c>
      <c r="DP91" s="110" t="str">
        <f t="shared" si="670"/>
        <v>-</v>
      </c>
      <c r="DR91" s="110" t="str">
        <f t="shared" si="671"/>
        <v>-</v>
      </c>
      <c r="DS91" s="125" t="str">
        <f t="shared" si="806"/>
        <v>-</v>
      </c>
      <c r="DT91" s="110" t="str">
        <f t="shared" si="673"/>
        <v>-</v>
      </c>
      <c r="DU91" s="125" t="str">
        <f t="shared" si="807"/>
        <v>-</v>
      </c>
      <c r="DV91" s="110">
        <f>IF(SeilBeregnet=0,DV90,SeilBeregnet^0.5/Depl^0.33333)</f>
        <v>3.0611821273522284</v>
      </c>
      <c r="DW91" s="110">
        <f>IF(SeilBeregnet=0,DW90,Lwl^0.3333)</f>
        <v>2.2438356573015867</v>
      </c>
      <c r="DX91" s="110">
        <f>IF(SeilBeregnet=0,DX90,((Loa+Lwl)/Bredde)^DX$3)</f>
        <v>1.5735954135403782</v>
      </c>
      <c r="DZ91" s="110" t="str">
        <f t="shared" si="675"/>
        <v>-</v>
      </c>
      <c r="EB91" s="110">
        <f>IF(SeilBeregnet=0,EB90,SeilBeregnet^0.5/Depl^0.33333)</f>
        <v>3.0611821273522284</v>
      </c>
      <c r="EC91" s="110">
        <f>IF(SeilBeregnet=0,EC90,Lwl^EC$3)</f>
        <v>2.2439988890031217</v>
      </c>
      <c r="ED91" s="110">
        <f>IF(SeilBeregnet=0,ED90,((Loa+Lwl)/Bredde)^ED$3)</f>
        <v>1.830197069920783</v>
      </c>
      <c r="EE91" s="110" t="str">
        <f t="shared" si="676"/>
        <v>-</v>
      </c>
      <c r="EG91" s="110">
        <f>IF(SeilBeregnet=0,EG90,(EH91*EI91)^EG$3)</f>
        <v>4.8170621556132449</v>
      </c>
      <c r="EH91" s="110">
        <f>IF(SeilBeregnet=0,EH90,SeilBeregnet^0.5/Depl^0.33333)</f>
        <v>3.0611821273522284</v>
      </c>
      <c r="EI91" s="110">
        <f>IF(SeilBeregnet=0,EI90,((Loa+Lwl)/Bredde)^EI$3)</f>
        <v>1.5735954135403782</v>
      </c>
      <c r="EJ91" s="110">
        <f>IF(SeilBeregnet=0,EJ90,Lwl^EJ$3)</f>
        <v>1.8334522799337654</v>
      </c>
      <c r="EK91" s="110" t="str">
        <f>IF(SeilBeregnet=0,"-",EK$7*(EK$4*EM:EM+EK$6)*EP:EP*PropF+ErfaringsF+Dyp_F)</f>
        <v>-</v>
      </c>
      <c r="EM91" s="110">
        <f>IF(SeilBeregnet=0,EM90,(EN:EN*EO:EO)^EM$3)</f>
        <v>1.7543741468269438</v>
      </c>
      <c r="EN91" s="110">
        <f>IF(SeilBeregnet=0,EN90,SeilBeregnet^0.5/Depl^0.33333)</f>
        <v>3.0611821273522284</v>
      </c>
      <c r="EO91" s="110">
        <f>IF(SeilBeregnet=0,EO90,((Loa+Lwl)/Bredde/6)^EO$3)</f>
        <v>1.0054379383551861</v>
      </c>
      <c r="EP91" s="110">
        <f>IF(SeilBeregnet=0,EP90,(Lwl*0.7+Loa*0.3)^EP$3)</f>
        <v>1.8419118031918562</v>
      </c>
      <c r="EQ91" s="110" t="str">
        <f>IF(SeilBeregnet=0,"-",EQ$7*(ES:ES+EQ$6)*EV:EV*PropF+ErfaringsF+Dyp_F)</f>
        <v>-</v>
      </c>
      <c r="ES91" s="110">
        <f>(ET:ET*EU:EU)^ES$3</f>
        <v>1.7544471107137862</v>
      </c>
      <c r="ET91" s="110">
        <f>IF(SeilBeregnet=0,ET90,SeilBeregnet^0.5/Depl^0.3333)</f>
        <v>3.0614367599132435</v>
      </c>
      <c r="EU91" s="110">
        <f>IF(SeilBeregnet=0,EU90,((Loa+Lwl)/Bredde/6)^EU$3)</f>
        <v>1.0054379383551861</v>
      </c>
      <c r="EV91" s="110">
        <f>IF(SeilBeregnet=0,EV90,(Lwl*0.7+Loa*0.3)^EV$3)</f>
        <v>1.8419118031918562</v>
      </c>
      <c r="EW91" s="110" t="str">
        <f>IF(SeilBeregnet=0,"-",EW$7*(EY:EY+EW$6)*FB:FB*PropF+ErfaringsF+Dyp_F)</f>
        <v>-</v>
      </c>
      <c r="EX91" s="144" t="str">
        <f t="shared" si="808"/>
        <v>-</v>
      </c>
      <c r="EY91" s="110">
        <f>(EZ:EZ*FA:FA)^EY$3</f>
        <v>3.0948230989484165</v>
      </c>
      <c r="EZ91" s="136">
        <f>IF(SeilBeregnet=0,EZ90,(SeilBeregnet^0.5/(Depl^0.3333))^EZ$3)</f>
        <v>3.0614367599132435</v>
      </c>
      <c r="FA91" s="136">
        <f>IF(SeilBeregnet=0,FA90,((Loa+Lwl)/Bredde/6)^FA$3)</f>
        <v>1.0109054478839272</v>
      </c>
      <c r="FB91" s="110">
        <f>IF(SeilBeregnet=0,FB90,(Lwl*0.07+Loa*0.03)^FB$3)</f>
        <v>1.0357831242906539</v>
      </c>
      <c r="FC91" s="110" t="str">
        <f>IF(SeilBeregnet=0,"-",FC$7*(FE:FE+FC$6)*FI:FI*PropF+ErfaringsF+Dyp_F)</f>
        <v>-</v>
      </c>
      <c r="FD91" s="144" t="str">
        <f t="shared" si="809"/>
        <v>-</v>
      </c>
      <c r="FE91" s="110">
        <f>(FF:FF+FG:FG+FH:FH)^FE$3+FE$7</f>
        <v>5.0211050135684641</v>
      </c>
      <c r="FF91" s="136">
        <f>IF(SeilBeregnet=0,FF90,(SeilBeregnet^0.5/(Depl^0.3333))^FF$3)</f>
        <v>3.0614367599132435</v>
      </c>
      <c r="FG91" s="136">
        <f>IF(SeilBeregnet=0,FG90,(SeilBeregnet^0.5/Lwl*FG$7)^FG$3)</f>
        <v>0.68262162037794294</v>
      </c>
      <c r="FH91" s="136">
        <f>IF(SeilBeregnet=0,FH90,((Loa)/Bredde)^FH$3*FH$7)</f>
        <v>1.7770466332772772</v>
      </c>
      <c r="FI91" s="110">
        <f>IF(SeilBeregnet=0,FI90,(Lwl)^FI$3)</f>
        <v>1.8334522799337654</v>
      </c>
      <c r="FJ91" s="110" t="str">
        <f>IF(SeilBeregnet=0,"-",FJ$7*(FL:FL+FJ$6)*FO:FO*PropF+ErfaringsF+Dyp_F)</f>
        <v>-</v>
      </c>
      <c r="FK91" s="144" t="str">
        <f t="shared" si="810"/>
        <v>-</v>
      </c>
      <c r="FL91" s="110">
        <f>(FM:FM*FN:FN)^FL$3</f>
        <v>5.4403158871951254</v>
      </c>
      <c r="FM91" s="136">
        <f>IF(SeilBeregnet=0,FM90,(SeilBeregnet^0.5/(Depl^0.3333))^FM$3)</f>
        <v>3.0614367599132435</v>
      </c>
      <c r="FN91" s="136">
        <f>IF(SeilBeregnet=0,FN90,(Loa/Bredde)^FN$3)</f>
        <v>1.7770466332772772</v>
      </c>
      <c r="FO91" s="110">
        <f>IF(SeilBeregnet=0,FO90,Lwl^FO$3)</f>
        <v>1.8334522799337654</v>
      </c>
      <c r="FQ91" s="374">
        <v>1</v>
      </c>
      <c r="FR91" s="64" t="str">
        <f t="shared" si="811"/>
        <v>-</v>
      </c>
      <c r="FS91" s="479"/>
      <c r="FT91" s="18"/>
      <c r="FU91" s="481"/>
      <c r="FV91" s="504"/>
      <c r="FW91" s="18"/>
      <c r="FX91" s="18"/>
      <c r="FY91" s="18"/>
      <c r="FZ91" s="18"/>
      <c r="GB91" s="18"/>
      <c r="GC91" s="481"/>
      <c r="GD91" s="8"/>
      <c r="GE91" s="8"/>
      <c r="GF91" s="8"/>
      <c r="GG91" s="8"/>
      <c r="GI91" s="18"/>
      <c r="GJ91" s="18"/>
      <c r="GK91" s="18"/>
      <c r="GL91" s="18"/>
      <c r="GM91" s="18"/>
      <c r="GN91" s="18"/>
      <c r="GO91" s="18"/>
      <c r="GP91" s="18"/>
    </row>
    <row r="92" spans="1:198" ht="15.6" x14ac:dyDescent="0.3">
      <c r="A92" s="62"/>
      <c r="B92" s="223"/>
      <c r="C92" s="63" t="str">
        <f t="shared" ref="C92" si="833">C91</f>
        <v>Bermuda</v>
      </c>
      <c r="D92" s="63"/>
      <c r="E92" s="63"/>
      <c r="F92" s="63"/>
      <c r="G92" s="56"/>
      <c r="H92" s="209" t="e">
        <f>TBFavrundet</f>
        <v>#VALUE!</v>
      </c>
      <c r="I92" s="65">
        <f>COUNTA(O92:AD92)</f>
        <v>0</v>
      </c>
      <c r="J92" s="228">
        <f>SUM(O92:AD92)</f>
        <v>0</v>
      </c>
      <c r="K92" s="119">
        <f>Seilareal/Depl^0.667/K$7</f>
        <v>0</v>
      </c>
      <c r="L92" s="119" t="e">
        <f>Seilareal/Lwl/Lwl/L$7</f>
        <v>#DIV/0!</v>
      </c>
      <c r="M92" s="95" t="e">
        <f>RiggF</f>
        <v>#DIV/0!</v>
      </c>
      <c r="N92" s="265" t="str">
        <f>StHfaktor</f>
        <v>-</v>
      </c>
      <c r="O92" s="147"/>
      <c r="P92" s="147"/>
      <c r="Q92" s="147"/>
      <c r="R92" s="147"/>
      <c r="S92" s="147"/>
      <c r="T92" s="147"/>
      <c r="U92" s="148"/>
      <c r="V92" s="148"/>
      <c r="W92" s="148"/>
      <c r="X92" s="148"/>
      <c r="Y92" s="147"/>
      <c r="Z92" s="147"/>
      <c r="AA92" s="147"/>
      <c r="AB92" s="147"/>
      <c r="AC92" s="147"/>
      <c r="AD92" s="148"/>
      <c r="AE92" s="260">
        <f t="shared" ref="AE92" si="834">AE91</f>
        <v>0</v>
      </c>
      <c r="AF92" s="375">
        <f t="shared" si="826"/>
        <v>0</v>
      </c>
      <c r="AG92" s="377"/>
      <c r="AH92" s="375">
        <f t="shared" si="826"/>
        <v>0</v>
      </c>
      <c r="AI92" s="377"/>
      <c r="AJ92" s="295" t="str">
        <f t="shared" si="827"/>
        <v>Meter</v>
      </c>
      <c r="AK92" s="47">
        <f>VLOOKUP(AJ92,Skrogform!$1:$1048576,3,FALSE)</f>
        <v>1</v>
      </c>
      <c r="AL92" s="66">
        <f t="shared" ref="AL92:AT92" si="835">AL91</f>
        <v>15.85</v>
      </c>
      <c r="AM92" s="66">
        <f t="shared" si="835"/>
        <v>0</v>
      </c>
      <c r="AN92" s="66">
        <f t="shared" si="835"/>
        <v>0</v>
      </c>
      <c r="AO92" s="66">
        <f t="shared" si="835"/>
        <v>0</v>
      </c>
      <c r="AP92" s="66">
        <f t="shared" si="835"/>
        <v>19</v>
      </c>
      <c r="AQ92" s="66">
        <f t="shared" si="835"/>
        <v>0</v>
      </c>
      <c r="AR92" s="66">
        <f t="shared" si="835"/>
        <v>0</v>
      </c>
      <c r="AS92" s="284">
        <f t="shared" si="835"/>
        <v>0</v>
      </c>
      <c r="AT92" s="284">
        <f t="shared" si="835"/>
        <v>0</v>
      </c>
      <c r="AU92" s="284">
        <f t="shared" ref="AU92:AV92" si="836">AU91</f>
        <v>200</v>
      </c>
      <c r="AV92" s="284">
        <f t="shared" si="836"/>
        <v>200</v>
      </c>
      <c r="AW92" s="284"/>
      <c r="AX92" s="284">
        <f>AX91</f>
        <v>0</v>
      </c>
      <c r="AY92" s="68"/>
      <c r="AZ92" s="68"/>
      <c r="BA92" s="289"/>
      <c r="BB92" s="68"/>
      <c r="BC92" s="179"/>
      <c r="BD92" s="68"/>
      <c r="BE92" s="68"/>
      <c r="BF92" s="67">
        <f t="shared" ref="BF92:BH92" si="837" xml:space="preserve"> BF91</f>
        <v>0</v>
      </c>
      <c r="BG92" s="295">
        <f t="shared" si="837"/>
        <v>0</v>
      </c>
      <c r="BH92" s="295">
        <f t="shared" si="837"/>
        <v>0</v>
      </c>
      <c r="BI92" s="47">
        <f t="shared" si="663"/>
        <v>1</v>
      </c>
      <c r="BJ92" s="61"/>
      <c r="BK92" s="61"/>
      <c r="BM92" s="51">
        <f t="shared" si="831"/>
        <v>0</v>
      </c>
      <c r="BN92" s="51">
        <f t="shared" si="831"/>
        <v>0</v>
      </c>
      <c r="BO92" s="51">
        <f t="shared" si="831"/>
        <v>0</v>
      </c>
      <c r="BP92" s="51">
        <f t="shared" si="831"/>
        <v>0</v>
      </c>
      <c r="BQ92" s="51">
        <f t="shared" si="831"/>
        <v>0</v>
      </c>
      <c r="BR92" s="51">
        <f t="shared" si="831"/>
        <v>0</v>
      </c>
      <c r="BS92" s="52">
        <f>IF(COUNT(P92:T92)&gt;1,MINA(P92:T92)*BS$9,0)</f>
        <v>0</v>
      </c>
      <c r="BT92" s="88">
        <f t="shared" si="832"/>
        <v>0</v>
      </c>
      <c r="BU92" s="88">
        <f t="shared" si="832"/>
        <v>0</v>
      </c>
      <c r="BV92" s="88">
        <f t="shared" si="832"/>
        <v>0</v>
      </c>
      <c r="BW92" s="88">
        <f t="shared" si="832"/>
        <v>0</v>
      </c>
      <c r="BX92" s="88">
        <f t="shared" si="832"/>
        <v>0</v>
      </c>
      <c r="BY92" s="88">
        <f t="shared" si="832"/>
        <v>0</v>
      </c>
      <c r="BZ92" s="88">
        <f t="shared" si="832"/>
        <v>0</v>
      </c>
      <c r="CA92" s="88">
        <f t="shared" si="832"/>
        <v>0</v>
      </c>
      <c r="CB92" s="88">
        <f t="shared" si="832"/>
        <v>0</v>
      </c>
      <c r="CC92" s="88">
        <f t="shared" si="832"/>
        <v>0</v>
      </c>
      <c r="CD92" s="103">
        <f>SUM(BM92:CC92)</f>
        <v>0</v>
      </c>
      <c r="CE92" s="52"/>
      <c r="CF92" s="107">
        <f>J92</f>
        <v>0</v>
      </c>
      <c r="CG92" s="104" t="e">
        <f>CD92/CF92</f>
        <v>#DIV/0!</v>
      </c>
      <c r="CH92" s="53" t="e">
        <f>Seilareal/Lwl/Lwl</f>
        <v>#DIV/0!</v>
      </c>
      <c r="CI92" s="119">
        <f>Seilareal/Depl^0.667/K$7</f>
        <v>0</v>
      </c>
      <c r="CJ92" s="53" t="e">
        <f>Seilareal/Lwl/Lwl/SApRS1</f>
        <v>#DIV/0!</v>
      </c>
      <c r="CK92" s="209"/>
      <c r="CL92" s="209" t="e">
        <f>(ROUND(TBF/CL$6,3)*CL$6)*CL$4</f>
        <v>#VALUE!</v>
      </c>
      <c r="CM92" s="110" t="str">
        <f t="shared" si="690"/>
        <v>-</v>
      </c>
      <c r="CN92" s="64" t="str">
        <f>IF(SeilBeregnet=0,"-",(SeilBeregnet)^(1/2)*StHfaktor/(Depl+DeplTillegg/1000+Vann/1000+Diesel/1000*0.84)^(1/3))</f>
        <v>-</v>
      </c>
      <c r="CO92" s="64" t="str">
        <f t="shared" si="659"/>
        <v>-</v>
      </c>
      <c r="CP92" s="64" t="str">
        <f t="shared" si="660"/>
        <v>-</v>
      </c>
      <c r="CQ92" s="110" t="str">
        <f t="shared" si="661"/>
        <v>-</v>
      </c>
      <c r="CR92" s="172" t="str">
        <f t="shared" si="691"/>
        <v>-</v>
      </c>
      <c r="CS92" s="162"/>
      <c r="CT92" s="172" t="str">
        <f t="shared" si="692"/>
        <v>-</v>
      </c>
      <c r="CU92" s="164"/>
      <c r="CV92" s="195" t="s">
        <v>145</v>
      </c>
      <c r="CW92" s="64" t="s">
        <v>111</v>
      </c>
      <c r="CX92" s="64" t="s">
        <v>111</v>
      </c>
      <c r="CY92" s="64" t="s">
        <v>111</v>
      </c>
      <c r="CZ92" s="154" t="s">
        <v>111</v>
      </c>
      <c r="DA92" s="64" t="str">
        <f t="shared" si="664"/>
        <v>-</v>
      </c>
      <c r="DB92" s="49">
        <f t="shared" si="665"/>
        <v>0</v>
      </c>
      <c r="DC92" s="50">
        <f t="shared" si="666"/>
        <v>0</v>
      </c>
      <c r="DE92" s="110" t="str">
        <f>IF(SeilBeregnet=0,"-",DE$7*(DG:DG+DE$6)*DL:DL*PropF+ErfaringsF+Dyp_F)</f>
        <v>-</v>
      </c>
      <c r="DF92" s="144" t="str">
        <f t="shared" si="805"/>
        <v>-</v>
      </c>
      <c r="DG92" s="110">
        <f t="shared" si="668"/>
        <v>4.8384833931905202</v>
      </c>
      <c r="DH92" s="136">
        <f>IF(SeilBeregnet=0,DH91,(SeilBeregnet^0.5/(Depl^0.3333))^DH$3*DH$7)</f>
        <v>3.0614367599132435</v>
      </c>
      <c r="DI92" s="136">
        <f>IF(SeilBeregnet=0,DI91,(SeilBeregnet^0.5/Lwl)^DI$3*DI$7)</f>
        <v>0</v>
      </c>
      <c r="DJ92" s="136">
        <f>IF(SeilBeregnet=0,DJ91,(0.1*Loa/Depl^0.3333)^DJ$3*DJ$7)</f>
        <v>0</v>
      </c>
      <c r="DK92" s="136">
        <f>IF(SeilBeregnet=0,DK91,((Loa)/Bredde)^DK$3*DK$7)</f>
        <v>1.7770466332772772</v>
      </c>
      <c r="DL92" s="110">
        <f>IF(SeilBeregnet=0,DL91,(Lwl)^DL$3)</f>
        <v>1.8334522799337654</v>
      </c>
      <c r="DM92" s="136">
        <f>IF(SeilBeregnet=0,DM91,(Dypg/Loa)^DM$3*5*DM$7)</f>
        <v>2.0916500663351889</v>
      </c>
      <c r="DO92" s="110" t="str">
        <f t="shared" si="669"/>
        <v>-</v>
      </c>
      <c r="DP92" s="110" t="str">
        <f t="shared" si="670"/>
        <v>-</v>
      </c>
      <c r="DR92" s="110" t="str">
        <f t="shared" si="671"/>
        <v>-</v>
      </c>
      <c r="DS92" s="125" t="str">
        <f t="shared" si="806"/>
        <v>-</v>
      </c>
      <c r="DT92" s="110" t="str">
        <f t="shared" si="673"/>
        <v>-</v>
      </c>
      <c r="DU92" s="125" t="str">
        <f t="shared" si="807"/>
        <v>-</v>
      </c>
      <c r="DV92" s="110">
        <f>IF(SeilBeregnet=0,DV91,SeilBeregnet^0.5/Depl^0.33333)</f>
        <v>3.0611821273522284</v>
      </c>
      <c r="DW92" s="110">
        <f>IF(SeilBeregnet=0,DW91,Lwl^0.3333)</f>
        <v>2.2438356573015867</v>
      </c>
      <c r="DX92" s="110">
        <f>IF(SeilBeregnet=0,DX91,((Loa+Lwl)/Bredde)^DX$3)</f>
        <v>1.5735954135403782</v>
      </c>
      <c r="DZ92" s="110" t="str">
        <f t="shared" si="675"/>
        <v>-</v>
      </c>
      <c r="EB92" s="110">
        <f>IF(SeilBeregnet=0,EB91,SeilBeregnet^0.5/Depl^0.33333)</f>
        <v>3.0611821273522284</v>
      </c>
      <c r="EC92" s="110">
        <f>IF(SeilBeregnet=0,EC91,Lwl^EC$3)</f>
        <v>2.2439988890031217</v>
      </c>
      <c r="ED92" s="110">
        <f>IF(SeilBeregnet=0,ED91,((Loa+Lwl)/Bredde)^ED$3)</f>
        <v>1.830197069920783</v>
      </c>
      <c r="EE92" s="110" t="str">
        <f t="shared" si="676"/>
        <v>-</v>
      </c>
      <c r="EG92" s="110">
        <f>IF(SeilBeregnet=0,EG91,(EH92*EI92)^EG$3)</f>
        <v>4.8170621556132449</v>
      </c>
      <c r="EH92" s="110">
        <f>IF(SeilBeregnet=0,EH91,SeilBeregnet^0.5/Depl^0.33333)</f>
        <v>3.0611821273522284</v>
      </c>
      <c r="EI92" s="110">
        <f>IF(SeilBeregnet=0,EI91,((Loa+Lwl)/Bredde)^EI$3)</f>
        <v>1.5735954135403782</v>
      </c>
      <c r="EJ92" s="110">
        <f>IF(SeilBeregnet=0,EJ91,Lwl^EJ$3)</f>
        <v>1.8334522799337654</v>
      </c>
      <c r="EK92" s="110" t="str">
        <f>IF(SeilBeregnet=0,"-",EK$7*(EK$4*EM:EM+EK$6)*EP:EP*PropF+ErfaringsF+Dyp_F)</f>
        <v>-</v>
      </c>
      <c r="EM92" s="110">
        <f>IF(SeilBeregnet=0,EM91,(EN:EN*EO:EO)^EM$3)</f>
        <v>1.7543741468269438</v>
      </c>
      <c r="EN92" s="110">
        <f>IF(SeilBeregnet=0,EN91,SeilBeregnet^0.5/Depl^0.33333)</f>
        <v>3.0611821273522284</v>
      </c>
      <c r="EO92" s="110">
        <f>IF(SeilBeregnet=0,EO91,((Loa+Lwl)/Bredde/6)^EO$3)</f>
        <v>1.0054379383551861</v>
      </c>
      <c r="EP92" s="110">
        <f>IF(SeilBeregnet=0,EP91,(Lwl*0.7+Loa*0.3)^EP$3)</f>
        <v>1.8419118031918562</v>
      </c>
      <c r="EQ92" s="110" t="str">
        <f>IF(SeilBeregnet=0,"-",EQ$7*(ES:ES+EQ$6)*EV:EV*PropF+ErfaringsF+Dyp_F)</f>
        <v>-</v>
      </c>
      <c r="ES92" s="110">
        <f>(ET:ET*EU:EU)^ES$3</f>
        <v>1.7544471107137862</v>
      </c>
      <c r="ET92" s="110">
        <f>IF(SeilBeregnet=0,ET91,SeilBeregnet^0.5/Depl^0.3333)</f>
        <v>3.0614367599132435</v>
      </c>
      <c r="EU92" s="110">
        <f>IF(SeilBeregnet=0,EU91,((Loa+Lwl)/Bredde/6)^EU$3)</f>
        <v>1.0054379383551861</v>
      </c>
      <c r="EV92" s="110">
        <f>IF(SeilBeregnet=0,EV91,(Lwl*0.7+Loa*0.3)^EV$3)</f>
        <v>1.8419118031918562</v>
      </c>
      <c r="EW92" s="110" t="str">
        <f>IF(SeilBeregnet=0,"-",EW$7*(EY:EY+EW$6)*FB:FB*PropF+ErfaringsF+Dyp_F)</f>
        <v>-</v>
      </c>
      <c r="EX92" s="144" t="str">
        <f t="shared" si="808"/>
        <v>-</v>
      </c>
      <c r="EY92" s="110">
        <f>(EZ:EZ*FA:FA)^EY$3</f>
        <v>3.0948230989484165</v>
      </c>
      <c r="EZ92" s="136">
        <f>IF(SeilBeregnet=0,EZ91,(SeilBeregnet^0.5/(Depl^0.3333))^EZ$3)</f>
        <v>3.0614367599132435</v>
      </c>
      <c r="FA92" s="136">
        <f>IF(SeilBeregnet=0,FA91,((Loa+Lwl)/Bredde/6)^FA$3)</f>
        <v>1.0109054478839272</v>
      </c>
      <c r="FB92" s="110">
        <f>IF(SeilBeregnet=0,FB91,(Lwl*0.07+Loa*0.03)^FB$3)</f>
        <v>1.0357831242906539</v>
      </c>
      <c r="FC92" s="110" t="str">
        <f>IF(SeilBeregnet=0,"-",FC$7*(FE:FE+FC$6)*FI:FI*PropF+ErfaringsF+Dyp_F)</f>
        <v>-</v>
      </c>
      <c r="FD92" s="144" t="str">
        <f t="shared" si="809"/>
        <v>-</v>
      </c>
      <c r="FE92" s="110">
        <f>(FF:FF+FG:FG+FH:FH)^FE$3+FE$7</f>
        <v>5.0211050135684641</v>
      </c>
      <c r="FF92" s="136">
        <f>IF(SeilBeregnet=0,FF91,(SeilBeregnet^0.5/(Depl^0.3333))^FF$3)</f>
        <v>3.0614367599132435</v>
      </c>
      <c r="FG92" s="136">
        <f>IF(SeilBeregnet=0,FG91,(SeilBeregnet^0.5/Lwl*FG$7)^FG$3)</f>
        <v>0.68262162037794294</v>
      </c>
      <c r="FH92" s="136">
        <f>IF(SeilBeregnet=0,FH91,((Loa)/Bredde)^FH$3*FH$7)</f>
        <v>1.7770466332772772</v>
      </c>
      <c r="FI92" s="110">
        <f>IF(SeilBeregnet=0,FI91,(Lwl)^FI$3)</f>
        <v>1.8334522799337654</v>
      </c>
      <c r="FJ92" s="110" t="str">
        <f>IF(SeilBeregnet=0,"-",FJ$7*(FL:FL+FJ$6)*FO:FO*PropF+ErfaringsF+Dyp_F)</f>
        <v>-</v>
      </c>
      <c r="FK92" s="144" t="str">
        <f t="shared" si="810"/>
        <v>-</v>
      </c>
      <c r="FL92" s="110">
        <f>(FM:FM*FN:FN)^FL$3</f>
        <v>5.4403158871951254</v>
      </c>
      <c r="FM92" s="136">
        <f>IF(SeilBeregnet=0,FM91,(SeilBeregnet^0.5/(Depl^0.3333))^FM$3)</f>
        <v>3.0614367599132435</v>
      </c>
      <c r="FN92" s="136">
        <f>IF(SeilBeregnet=0,FN91,(Loa/Bredde)^FN$3)</f>
        <v>1.7770466332772772</v>
      </c>
      <c r="FO92" s="110">
        <f>IF(SeilBeregnet=0,FO91,Lwl^FO$3)</f>
        <v>1.8334522799337654</v>
      </c>
      <c r="FQ92" s="374">
        <v>1</v>
      </c>
      <c r="FR92" s="64" t="str">
        <f t="shared" si="811"/>
        <v>-</v>
      </c>
      <c r="FS92" s="479"/>
      <c r="FT92" s="18"/>
      <c r="FU92" s="481"/>
      <c r="FV92" s="504"/>
      <c r="FW92" s="18"/>
      <c r="FX92" s="18"/>
      <c r="FY92" s="18"/>
      <c r="FZ92" s="18"/>
      <c r="GB92" s="18"/>
      <c r="GC92" s="481"/>
      <c r="GD92" s="8"/>
      <c r="GE92" s="8"/>
      <c r="GF92" s="8"/>
      <c r="GG92" s="8"/>
      <c r="GI92" s="18"/>
      <c r="GJ92" s="18"/>
      <c r="GK92" s="18"/>
      <c r="GL92" s="18"/>
      <c r="GM92" s="18"/>
      <c r="GN92" s="18"/>
      <c r="GO92" s="18"/>
      <c r="GP92" s="18"/>
    </row>
    <row r="93" spans="1:198" ht="15.6" x14ac:dyDescent="0.3">
      <c r="A93" s="54" t="s">
        <v>298</v>
      </c>
      <c r="B93" s="223">
        <f t="shared" si="199"/>
        <v>27.887139107611546</v>
      </c>
      <c r="C93" s="55" t="s">
        <v>41</v>
      </c>
      <c r="D93" s="55"/>
      <c r="E93" s="55"/>
      <c r="F93" s="55"/>
      <c r="G93" s="56"/>
      <c r="H93" s="209"/>
      <c r="I93" s="126" t="str">
        <f>A93</f>
        <v>Van Hout</v>
      </c>
      <c r="J93" s="229"/>
      <c r="K93" s="119"/>
      <c r="L93" s="119"/>
      <c r="M93" s="95"/>
      <c r="N93" s="265"/>
      <c r="O93" s="169"/>
      <c r="P93" s="169">
        <v>10</v>
      </c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>
        <v>17</v>
      </c>
      <c r="AC93" s="169">
        <v>14.2</v>
      </c>
      <c r="AD93" s="169"/>
      <c r="AE93" s="263">
        <f>Loa*1.2</f>
        <v>10.199999999999999</v>
      </c>
      <c r="AF93" s="296"/>
      <c r="AG93" s="377"/>
      <c r="AH93" s="296"/>
      <c r="AI93" s="377"/>
      <c r="AJ93" s="296" t="s">
        <v>240</v>
      </c>
      <c r="AK93" s="47">
        <f>VLOOKUP(AJ93,Skrogform!$1:$1048576,3,FALSE)</f>
        <v>1</v>
      </c>
      <c r="AL93" s="57">
        <v>8.5</v>
      </c>
      <c r="AM93" s="57">
        <v>6</v>
      </c>
      <c r="AN93" s="57">
        <v>2.2999999999999998</v>
      </c>
      <c r="AO93" s="57">
        <v>1.3</v>
      </c>
      <c r="AP93" s="57">
        <v>2.7</v>
      </c>
      <c r="AQ93" s="57">
        <v>1</v>
      </c>
      <c r="AR93" s="57"/>
      <c r="AS93" s="281">
        <v>20</v>
      </c>
      <c r="AT93" s="282">
        <f>AS93*7</f>
        <v>140</v>
      </c>
      <c r="AU93" s="281">
        <f>ROUND(Depl*10,-2)</f>
        <v>0</v>
      </c>
      <c r="AV93" s="281">
        <f>ROUND(Depl*10,-2)</f>
        <v>0</v>
      </c>
      <c r="AW93" s="270">
        <f>Depl+Diesel/1000+Vann/1000</f>
        <v>2.7</v>
      </c>
      <c r="AX93" s="281">
        <v>100</v>
      </c>
      <c r="AY93" s="98">
        <f>Bredde/(Loa+Lwl)*2</f>
        <v>0.3172413793103448</v>
      </c>
      <c r="AZ93" s="98">
        <f>(Kjøl+Ballast)/Depl</f>
        <v>0.37037037037037035</v>
      </c>
      <c r="BA93" s="288">
        <f>BA$7*((Depl-Kjøl-Ballast-VektMotor/1000-VektAnnet/1000)/Loa/Lwl/Bredde)</f>
        <v>0.5385437087924756</v>
      </c>
      <c r="BB93" s="98">
        <f>BB$7*(Depl/Loa/Lwl/Lwl)</f>
        <v>0.66256806122448997</v>
      </c>
      <c r="BC93" s="178">
        <f>BC$7*(Depl/Loa/Lwl/Bredde)</f>
        <v>0.63889019520851853</v>
      </c>
      <c r="BD93" s="98">
        <f>BD$7*Bredde/(Loa+Lwl)*2</f>
        <v>0.90499073044123091</v>
      </c>
      <c r="BE93" s="98">
        <f>BE$7*(Dypg/Lwl)</f>
        <v>1.185072463768116</v>
      </c>
      <c r="BF93" s="58" t="s">
        <v>24</v>
      </c>
      <c r="BG93" s="296">
        <v>3</v>
      </c>
      <c r="BH93" s="296">
        <v>30</v>
      </c>
      <c r="BI93" s="47">
        <f t="shared" si="663"/>
        <v>1</v>
      </c>
      <c r="BJ93" s="61"/>
      <c r="BK93" s="61"/>
      <c r="BM93" s="214"/>
      <c r="BN93" s="214" t="str">
        <f>$A93</f>
        <v>Van Hout</v>
      </c>
      <c r="BO93" s="10"/>
      <c r="BP93" s="10"/>
      <c r="BQ93" s="10"/>
      <c r="BR93" s="10"/>
      <c r="BS93" s="52"/>
      <c r="BT93" s="214" t="str">
        <f>$A93</f>
        <v>Van Hout</v>
      </c>
      <c r="BU93" s="10"/>
      <c r="BV93" s="10"/>
      <c r="BW93" s="10"/>
      <c r="BX93" s="10"/>
      <c r="BY93" s="10"/>
      <c r="BZ93" s="10"/>
      <c r="CA93" s="10"/>
      <c r="CB93" s="10"/>
      <c r="CC93" s="10"/>
      <c r="CD93" s="214"/>
      <c r="CE93" s="10"/>
      <c r="CF93" s="214" t="str">
        <f>$A93</f>
        <v>Van Hout</v>
      </c>
      <c r="CG93" s="212"/>
      <c r="CH93" s="212"/>
      <c r="CI93" s="119"/>
      <c r="CJ93" s="212"/>
      <c r="CK93" s="208"/>
      <c r="CL93" s="208" t="s">
        <v>26</v>
      </c>
      <c r="CM93" s="110" t="str">
        <f t="shared" si="690"/>
        <v>-</v>
      </c>
      <c r="CN93" s="64" t="str">
        <f>IF(SeilBeregnet=0,"-",(SeilBeregnet)^(1/2)*StHfaktor/(Depl+DeplTillegg/1000+Vann/1000+Diesel/1000*0.84)^(1/3))</f>
        <v>-</v>
      </c>
      <c r="CO93" s="64" t="str">
        <f t="shared" si="659"/>
        <v>-</v>
      </c>
      <c r="CP93" s="64" t="str">
        <f t="shared" si="660"/>
        <v>-</v>
      </c>
      <c r="CQ93" s="110" t="str">
        <f t="shared" si="661"/>
        <v>-</v>
      </c>
      <c r="CR93" s="172" t="str">
        <f t="shared" si="691"/>
        <v>-</v>
      </c>
      <c r="CS93" s="162"/>
      <c r="CT93" s="172" t="str">
        <f t="shared" si="692"/>
        <v>-</v>
      </c>
      <c r="CU93" s="164">
        <v>1.1599999999999999</v>
      </c>
      <c r="CV93" s="195" t="s">
        <v>145</v>
      </c>
      <c r="CW93" s="30" t="s">
        <v>26</v>
      </c>
      <c r="CX93" s="30" t="s">
        <v>26</v>
      </c>
      <c r="CY93" s="30" t="s">
        <v>26</v>
      </c>
      <c r="CZ93" s="153">
        <v>2022</v>
      </c>
      <c r="DA93" s="64" t="str">
        <f t="shared" si="664"/>
        <v>-</v>
      </c>
      <c r="DB93" s="49">
        <f t="shared" si="665"/>
        <v>13.978494623655912</v>
      </c>
      <c r="DC93" s="50">
        <f t="shared" si="666"/>
        <v>0</v>
      </c>
      <c r="DE93" s="110" t="str">
        <f>IF(SeilBeregnet=0,"-",DE$7*(DG:DG+DE$6)*DL:DL*PropF+ErfaringsF+Dyp_F)</f>
        <v>-</v>
      </c>
      <c r="DF93" s="144" t="str">
        <f t="shared" si="805"/>
        <v>-</v>
      </c>
      <c r="DG93" s="110">
        <f t="shared" si="668"/>
        <v>5.13234699250388</v>
      </c>
      <c r="DH93" s="136">
        <f>IF(SeilBeregnet=0,DH33,(SeilBeregnet^0.5/(Depl^0.3333))^DH$3*DH$7)</f>
        <v>3.2677440358274423</v>
      </c>
      <c r="DI93" s="136">
        <f>IF(SeilBeregnet=0,DI33,(SeilBeregnet^0.5/Lwl)^DI$3*DI$7)</f>
        <v>0</v>
      </c>
      <c r="DJ93" s="136">
        <f>IF(SeilBeregnet=0,DJ33,(0.1*Loa/Depl^0.3333)^DJ$3*DJ$7)</f>
        <v>0</v>
      </c>
      <c r="DK93" s="136">
        <f>IF(SeilBeregnet=0,DK33,((Loa)/Bredde)^DK$3*DK$7)</f>
        <v>1.8646029566764373</v>
      </c>
      <c r="DL93" s="110">
        <f>IF(SeilBeregnet=0,DL33,(Lwl)^DL$3)</f>
        <v>1.8859172433475835</v>
      </c>
      <c r="DM93" s="136">
        <f>IF(SeilBeregnet=0,DM33,(Dypg/Loa)^DM$3*5*DM$7)</f>
        <v>2.0446520502738266</v>
      </c>
      <c r="DO93" s="110" t="str">
        <f t="shared" si="669"/>
        <v>-</v>
      </c>
      <c r="DP93" s="110" t="str">
        <f t="shared" si="670"/>
        <v>-</v>
      </c>
      <c r="DR93" s="110" t="str">
        <f t="shared" si="671"/>
        <v>-</v>
      </c>
      <c r="DS93" s="125" t="str">
        <f t="shared" si="806"/>
        <v>-</v>
      </c>
      <c r="DT93" s="110" t="str">
        <f t="shared" si="673"/>
        <v>-</v>
      </c>
      <c r="DU93" s="125" t="str">
        <f t="shared" si="807"/>
        <v>-</v>
      </c>
      <c r="DV93" s="110">
        <f>IF(SeilBeregnet=0,DV33,SeilBeregnet^0.5/Depl^0.33333)</f>
        <v>3.2674173884121251</v>
      </c>
      <c r="DW93" s="110">
        <f>IF(SeilBeregnet=0,DW33,Lwl^0.3333)</f>
        <v>2.3298436208665341</v>
      </c>
      <c r="DX93" s="110">
        <f>IF(SeilBeregnet=0,DX33,((Loa+Lwl)/Bredde)^DX$3)</f>
        <v>1.5916961163398649</v>
      </c>
      <c r="DZ93" s="110" t="str">
        <f t="shared" si="675"/>
        <v>-</v>
      </c>
      <c r="EB93" s="110">
        <f>IF(SeilBeregnet=0,EB33,SeilBeregnet^0.5/Depl^0.33333)</f>
        <v>3.2674173884121251</v>
      </c>
      <c r="EC93" s="110">
        <f>IF(SeilBeregnet=0,EC33,Lwl^EC$3)</f>
        <v>2.3300209979525235</v>
      </c>
      <c r="ED93" s="110">
        <f>IF(SeilBeregnet=0,ED33,((Loa+Lwl)/Bredde)^ED$3)</f>
        <v>1.8583176886572534</v>
      </c>
      <c r="EE93" s="110" t="str">
        <f t="shared" si="676"/>
        <v>-</v>
      </c>
      <c r="EG93" s="110">
        <f>IF(SeilBeregnet=0,EG33,(EH93*EI93)^EG$3)</f>
        <v>5.2007355675969231</v>
      </c>
      <c r="EH93" s="110">
        <f>IF(SeilBeregnet=0,EH33,SeilBeregnet^0.5/Depl^0.33333)</f>
        <v>3.2674173884121251</v>
      </c>
      <c r="EI93" s="110">
        <f>IF(SeilBeregnet=0,EI33,((Loa+Lwl)/Bredde)^EI$3)</f>
        <v>1.5916961163398649</v>
      </c>
      <c r="EJ93" s="110">
        <f>IF(SeilBeregnet=0,EJ33,Lwl^EJ$3)</f>
        <v>1.8859172433475835</v>
      </c>
      <c r="EK93" s="110" t="str">
        <f>IF(SeilBeregnet=0,"-",EK$7*(EK$4*EM:EM+EK$6)*EP:EP*PropF+ErfaringsF+Dyp_F)</f>
        <v>-</v>
      </c>
      <c r="EM93" s="110">
        <f>IF(SeilBeregnet=0,EM33,(EN:EN*EO:EO)^EM$3)</f>
        <v>1.8229026655102509</v>
      </c>
      <c r="EN93" s="110">
        <f>IF(SeilBeregnet=0,EN33,SeilBeregnet^0.5/Depl^0.33333)</f>
        <v>3.2674173884121251</v>
      </c>
      <c r="EO93" s="110">
        <f>IF(SeilBeregnet=0,EO33,((Loa+Lwl)/Bredde/6)^EO$3)</f>
        <v>1.0170032575909294</v>
      </c>
      <c r="EP93" s="110">
        <f>IF(SeilBeregnet=0,EP33,(Lwl*0.7+Loa*0.3)^EP$3)</f>
        <v>1.9111244003334622</v>
      </c>
      <c r="EQ93" s="110" t="str">
        <f>IF(SeilBeregnet=0,"-",EQ$7*(ES:ES+EQ$6)*EV:EV*PropF+ErfaringsF+Dyp_F)</f>
        <v>-</v>
      </c>
      <c r="ES93" s="110">
        <f>(ET:ET*EU:EU)^ES$3</f>
        <v>1.8229937820546289</v>
      </c>
      <c r="ET93" s="110">
        <f>IF(SeilBeregnet=0,ET33,SeilBeregnet^0.5/Depl^0.3333)</f>
        <v>3.2677440358274423</v>
      </c>
      <c r="EU93" s="110">
        <f>IF(SeilBeregnet=0,EU33,((Loa+Lwl)/Bredde/6)^EU$3)</f>
        <v>1.0170032575909294</v>
      </c>
      <c r="EV93" s="110">
        <f>IF(SeilBeregnet=0,EV33,(Lwl*0.7+Loa*0.3)^EV$3)</f>
        <v>1.9111244003334622</v>
      </c>
      <c r="EW93" s="110" t="str">
        <f>IF(SeilBeregnet=0,"-",EW$7*(EY:EY+EW$6)*FB:FB*PropF+ErfaringsF+Dyp_F)</f>
        <v>-</v>
      </c>
      <c r="EX93" s="144" t="str">
        <f t="shared" si="808"/>
        <v>-</v>
      </c>
      <c r="EY93" s="110">
        <f>(EZ:EZ*FA:FA)^EY$3</f>
        <v>3.379813362982361</v>
      </c>
      <c r="EZ93" s="136">
        <f>IF(SeilBeregnet=0,EZ33,(SeilBeregnet^0.5/(Depl^0.3333))^EZ$3)</f>
        <v>3.2677440358274423</v>
      </c>
      <c r="FA93" s="136">
        <f>IF(SeilBeregnet=0,FA33,((Loa+Lwl)/Bredde/6)^FA$3)</f>
        <v>1.0342956259505622</v>
      </c>
      <c r="FB93" s="110">
        <f>IF(SeilBeregnet=0,FB33,(Lwl*0.07+Loa*0.03)^FB$3)</f>
        <v>1.0747042278871302</v>
      </c>
      <c r="FC93" s="110" t="str">
        <f>IF(SeilBeregnet=0,"-",FC$7*(FE:FE+FC$6)*FI:FI*PropF+ErfaringsF+Dyp_F)</f>
        <v>-</v>
      </c>
      <c r="FD93" s="144" t="str">
        <f t="shared" si="809"/>
        <v>-</v>
      </c>
      <c r="FE93" s="110">
        <f>(FF:FF+FG:FG+FH:FH)^FE$3+FE$7</f>
        <v>5.4166705817410312</v>
      </c>
      <c r="FF93" s="136">
        <f>IF(SeilBeregnet=0,FF33,(SeilBeregnet^0.5/(Depl^0.3333))^FF$3)</f>
        <v>3.2677440358274423</v>
      </c>
      <c r="FG93" s="136">
        <f>IF(SeilBeregnet=0,FG33,(SeilBeregnet^0.5/Lwl*FG$7)^FG$3)</f>
        <v>0.78432358923715173</v>
      </c>
      <c r="FH93" s="136">
        <f>IF(SeilBeregnet=0,FH33,((Loa)/Bredde)^FH$3*FH$7)</f>
        <v>1.8646029566764373</v>
      </c>
      <c r="FI93" s="110">
        <f>IF(SeilBeregnet=0,FI33,(Lwl)^FI$3)</f>
        <v>1.8859172433475835</v>
      </c>
      <c r="FJ93" s="110" t="str">
        <f>IF(SeilBeregnet=0,"-",FJ$7*(FL:FL+FJ$6)*FO:FO*PropF+ErfaringsF+Dyp_F)</f>
        <v>-</v>
      </c>
      <c r="FK93" s="144" t="str">
        <f t="shared" si="810"/>
        <v>-</v>
      </c>
      <c r="FL93" s="110">
        <f>(FM:FM*FN:FN)^FL$3</f>
        <v>6.0930451908656424</v>
      </c>
      <c r="FM93" s="136">
        <f>IF(SeilBeregnet=0,FM33,(SeilBeregnet^0.5/(Depl^0.3333))^FM$3)</f>
        <v>3.2677440358274423</v>
      </c>
      <c r="FN93" s="136">
        <f>IF(SeilBeregnet=0,FN33,(Loa/Bredde)^FN$3)</f>
        <v>1.8646029566764373</v>
      </c>
      <c r="FO93" s="110">
        <f>IF(SeilBeregnet=0,FO33,Lwl^FO$3)</f>
        <v>1.8859172433475835</v>
      </c>
      <c r="FP93" s="569">
        <v>1.18</v>
      </c>
      <c r="FQ93" s="374">
        <v>1</v>
      </c>
      <c r="FR93" s="64" t="str">
        <f t="shared" si="811"/>
        <v>-</v>
      </c>
      <c r="FS93" s="480" t="s">
        <v>465</v>
      </c>
      <c r="FT93" s="59" t="s">
        <v>462</v>
      </c>
      <c r="FU93" s="475" t="s">
        <v>524</v>
      </c>
      <c r="FV93" s="506" t="s">
        <v>463</v>
      </c>
      <c r="FW93" s="59"/>
      <c r="FX93" s="59"/>
      <c r="FY93" s="59" t="s">
        <v>464</v>
      </c>
      <c r="FZ93" s="59" t="s">
        <v>522</v>
      </c>
      <c r="GB93" s="59" t="s">
        <v>522</v>
      </c>
      <c r="GC93" s="475" t="s">
        <v>522</v>
      </c>
      <c r="GD93" s="60" t="s">
        <v>522</v>
      </c>
      <c r="GE93" s="60" t="s">
        <v>522</v>
      </c>
      <c r="GF93" s="60" t="s">
        <v>522</v>
      </c>
      <c r="GG93" s="60" t="s">
        <v>522</v>
      </c>
      <c r="GI93" s="59" t="s">
        <v>600</v>
      </c>
      <c r="GJ93" s="59" t="s">
        <v>467</v>
      </c>
      <c r="GK93" s="59" t="s">
        <v>468</v>
      </c>
      <c r="GL93" s="59" t="s">
        <v>469</v>
      </c>
      <c r="GM93" s="59">
        <v>1963</v>
      </c>
      <c r="GN93" s="59" t="s">
        <v>470</v>
      </c>
      <c r="GO93" s="59" t="s">
        <v>641</v>
      </c>
      <c r="GP93" s="59" t="s">
        <v>522</v>
      </c>
    </row>
    <row r="94" spans="1:198" ht="15.6" x14ac:dyDescent="0.3">
      <c r="A94" s="62" t="s">
        <v>36</v>
      </c>
      <c r="B94" s="223"/>
      <c r="C94" s="63" t="str">
        <f>C93</f>
        <v>Bermuda</v>
      </c>
      <c r="D94" s="63"/>
      <c r="E94" s="63"/>
      <c r="F94" s="63"/>
      <c r="G94" s="56"/>
      <c r="H94" s="209">
        <f>TBFavrundet</f>
        <v>94.5</v>
      </c>
      <c r="I94" s="65">
        <f>COUNTA(O94:AD94)</f>
        <v>2</v>
      </c>
      <c r="J94" s="228">
        <f>SUM(O94:AD94)</f>
        <v>27</v>
      </c>
      <c r="K94" s="119">
        <f>Seilareal/Depl^0.667/K$7</f>
        <v>1.2727628616966813</v>
      </c>
      <c r="L94" s="119">
        <f>Seilareal/Lwl/Lwl/L$7</f>
        <v>1.1379894534995205</v>
      </c>
      <c r="M94" s="95">
        <f>RiggF</f>
        <v>1</v>
      </c>
      <c r="N94" s="265">
        <f>StHfaktor</f>
        <v>1.0685777208211982</v>
      </c>
      <c r="O94" s="147"/>
      <c r="P94" s="88">
        <f t="shared" ref="P94:P95" si="838">P93</f>
        <v>10</v>
      </c>
      <c r="Q94" s="147"/>
      <c r="R94" s="147"/>
      <c r="S94" s="147"/>
      <c r="T94" s="147"/>
      <c r="U94" s="148"/>
      <c r="V94" s="148"/>
      <c r="W94" s="148"/>
      <c r="X94" s="148"/>
      <c r="Y94" s="147"/>
      <c r="Z94" s="147"/>
      <c r="AA94" s="147"/>
      <c r="AB94" s="88">
        <f t="shared" ref="AB94" si="839">AB93</f>
        <v>17</v>
      </c>
      <c r="AC94" s="147"/>
      <c r="AD94" s="148"/>
      <c r="AE94" s="260">
        <f t="shared" ref="AE94" si="840">AE93</f>
        <v>10.199999999999999</v>
      </c>
      <c r="AF94" s="375">
        <f t="shared" ref="AF94:AH95" si="841" xml:space="preserve"> AF93</f>
        <v>0</v>
      </c>
      <c r="AG94" s="377"/>
      <c r="AH94" s="375">
        <f t="shared" si="841"/>
        <v>0</v>
      </c>
      <c r="AI94" s="377"/>
      <c r="AJ94" s="295" t="str">
        <f t="shared" ref="AJ94:AJ95" si="842" xml:space="preserve"> AJ93</f>
        <v>Meter</v>
      </c>
      <c r="AK94" s="47">
        <f>VLOOKUP(AJ94,Skrogform!$1:$1048576,3,FALSE)</f>
        <v>1</v>
      </c>
      <c r="AL94" s="66">
        <f t="shared" ref="AL94:AT94" si="843">AL93</f>
        <v>8.5</v>
      </c>
      <c r="AM94" s="66">
        <f t="shared" si="843"/>
        <v>6</v>
      </c>
      <c r="AN94" s="66">
        <f t="shared" si="843"/>
        <v>2.2999999999999998</v>
      </c>
      <c r="AO94" s="66">
        <f t="shared" si="843"/>
        <v>1.3</v>
      </c>
      <c r="AP94" s="66">
        <f t="shared" si="843"/>
        <v>2.7</v>
      </c>
      <c r="AQ94" s="66">
        <f t="shared" si="843"/>
        <v>1</v>
      </c>
      <c r="AR94" s="66">
        <f t="shared" si="843"/>
        <v>0</v>
      </c>
      <c r="AS94" s="284">
        <f t="shared" si="843"/>
        <v>20</v>
      </c>
      <c r="AT94" s="284">
        <f t="shared" si="843"/>
        <v>140</v>
      </c>
      <c r="AU94" s="284">
        <f t="shared" ref="AU94:AV94" si="844">AU93</f>
        <v>0</v>
      </c>
      <c r="AV94" s="284">
        <f t="shared" si="844"/>
        <v>0</v>
      </c>
      <c r="AW94" s="284"/>
      <c r="AX94" s="284">
        <f>AX93</f>
        <v>100</v>
      </c>
      <c r="AY94" s="68"/>
      <c r="AZ94" s="68"/>
      <c r="BA94" s="289"/>
      <c r="BB94" s="68"/>
      <c r="BC94" s="179"/>
      <c r="BD94" s="68"/>
      <c r="BE94" s="68"/>
      <c r="BF94" s="67" t="str">
        <f t="shared" ref="BF94:BH94" si="845" xml:space="preserve"> BF93</f>
        <v>Seilrett</v>
      </c>
      <c r="BG94" s="295">
        <f t="shared" si="845"/>
        <v>3</v>
      </c>
      <c r="BH94" s="295">
        <f t="shared" si="845"/>
        <v>30</v>
      </c>
      <c r="BI94" s="47">
        <f t="shared" si="663"/>
        <v>1</v>
      </c>
      <c r="BJ94" s="61"/>
      <c r="BK94" s="61"/>
      <c r="BM94" s="51">
        <f t="shared" ref="BM94:BR95" si="846">IF(O94=0,0,O94*BM$9)</f>
        <v>0</v>
      </c>
      <c r="BN94" s="51">
        <f t="shared" si="846"/>
        <v>10</v>
      </c>
      <c r="BO94" s="51">
        <f t="shared" si="846"/>
        <v>0</v>
      </c>
      <c r="BP94" s="51">
        <f t="shared" si="846"/>
        <v>0</v>
      </c>
      <c r="BQ94" s="51">
        <f t="shared" si="846"/>
        <v>0</v>
      </c>
      <c r="BR94" s="51">
        <f t="shared" si="846"/>
        <v>0</v>
      </c>
      <c r="BS94" s="52">
        <f>IF(COUNT(P94:T94)&gt;1,MINA(P94:T94)*BS$9,0)</f>
        <v>0</v>
      </c>
      <c r="BT94" s="88">
        <f t="shared" ref="BT94:CC95" si="847">IF(U94=0,0,U94*BT$9)</f>
        <v>0</v>
      </c>
      <c r="BU94" s="88">
        <f t="shared" si="847"/>
        <v>0</v>
      </c>
      <c r="BV94" s="88">
        <f t="shared" si="847"/>
        <v>0</v>
      </c>
      <c r="BW94" s="88">
        <f t="shared" si="847"/>
        <v>0</v>
      </c>
      <c r="BX94" s="88">
        <f t="shared" si="847"/>
        <v>0</v>
      </c>
      <c r="BY94" s="88">
        <f t="shared" si="847"/>
        <v>0</v>
      </c>
      <c r="BZ94" s="88">
        <f t="shared" si="847"/>
        <v>0</v>
      </c>
      <c r="CA94" s="88">
        <f t="shared" si="847"/>
        <v>17</v>
      </c>
      <c r="CB94" s="88">
        <f t="shared" si="847"/>
        <v>0</v>
      </c>
      <c r="CC94" s="88">
        <f t="shared" si="847"/>
        <v>0</v>
      </c>
      <c r="CD94" s="103">
        <f>SUM(BM94:CC94)</f>
        <v>27</v>
      </c>
      <c r="CE94" s="52"/>
      <c r="CF94" s="107">
        <f>J94</f>
        <v>27</v>
      </c>
      <c r="CG94" s="104">
        <f>CD94/CF94</f>
        <v>1</v>
      </c>
      <c r="CH94" s="53">
        <f>Seilareal/Lwl/Lwl</f>
        <v>0.75</v>
      </c>
      <c r="CI94" s="119">
        <f>Seilareal/Depl^0.667/K$7</f>
        <v>1.2727628616966813</v>
      </c>
      <c r="CJ94" s="53">
        <f>Seilareal/Lwl/Lwl/SApRS1</f>
        <v>1.1379894534995205</v>
      </c>
      <c r="CK94" s="209"/>
      <c r="CL94" s="209">
        <f>(ROUND(TBF/CL$6,3)*CL$6)*CL$4</f>
        <v>94.5</v>
      </c>
      <c r="CM94" s="110">
        <f t="shared" si="690"/>
        <v>0.94492948599335691</v>
      </c>
      <c r="CN94" s="64">
        <f>IF(SeilBeregnet=0,"-",(SeilBeregnet)^(1/2)*StHfaktor/(Depl+DeplTillegg/1000+Vann/1000+Diesel/1000*0.84)^(1/3))</f>
        <v>3.8936358440639185</v>
      </c>
      <c r="CO94" s="64">
        <f t="shared" si="659"/>
        <v>1.7754362599213407</v>
      </c>
      <c r="CP94" s="64">
        <f t="shared" si="660"/>
        <v>1.5650845800732873</v>
      </c>
      <c r="CQ94" s="110">
        <f t="shared" si="661"/>
        <v>1.0685777208211982</v>
      </c>
      <c r="CR94" s="172" t="str">
        <f t="shared" si="691"/>
        <v>-</v>
      </c>
      <c r="CS94" s="163">
        <f>CS93</f>
        <v>0</v>
      </c>
      <c r="CT94" s="172">
        <f t="shared" si="692"/>
        <v>0.89543859649122803</v>
      </c>
      <c r="CU94" s="163">
        <f>CU93</f>
        <v>1.1599999999999999</v>
      </c>
      <c r="CV94" s="195" t="s">
        <v>145</v>
      </c>
      <c r="CW94" s="64" t="s">
        <v>111</v>
      </c>
      <c r="CX94" s="64" t="s">
        <v>111</v>
      </c>
      <c r="CY94" s="64" t="s">
        <v>111</v>
      </c>
      <c r="CZ94" s="154" t="s">
        <v>111</v>
      </c>
      <c r="DA94" s="64">
        <f t="shared" si="664"/>
        <v>2.2374785480253223</v>
      </c>
      <c r="DB94" s="49">
        <f t="shared" si="665"/>
        <v>13.978494623655912</v>
      </c>
      <c r="DC94" s="50">
        <f t="shared" si="666"/>
        <v>0</v>
      </c>
      <c r="DE94" s="110">
        <f>IF(SeilBeregnet=0,"-",DE$7*(DG:DG+DE$6)*DL:DL*PropF+ErfaringsF+Dyp_F)</f>
        <v>0.89376706379673299</v>
      </c>
      <c r="DF94" s="144" t="str">
        <f t="shared" si="805"/>
        <v>-</v>
      </c>
      <c r="DG94" s="110">
        <f t="shared" si="668"/>
        <v>5.6541218041124832</v>
      </c>
      <c r="DH94" s="136">
        <f>IF(SeilBeregnet=0,DH93,(SeilBeregnet^0.5/(Depl^0.3333))^DH$3*DH$7)</f>
        <v>3.7317138937269059</v>
      </c>
      <c r="DI94" s="136">
        <f>IF(SeilBeregnet=0,DI93,(SeilBeregnet^0.5/Lwl)^DI$3*DI$7)</f>
        <v>0</v>
      </c>
      <c r="DJ94" s="136">
        <f>IF(SeilBeregnet=0,DJ93,(0.1*Loa/Depl^0.3333)^DJ$3*DJ$7)</f>
        <v>0</v>
      </c>
      <c r="DK94" s="136">
        <f>IF(SeilBeregnet=0,DK93,((Loa)/Bredde)^DK$3*DK$7)</f>
        <v>1.9224079103855778</v>
      </c>
      <c r="DL94" s="110">
        <f>IF(SeilBeregnet=0,DL93,(Lwl)^DL$3)</f>
        <v>1.5650845800732873</v>
      </c>
      <c r="DM94" s="136">
        <f>IF(SeilBeregnet=0,DM93,(Dypg/Loa)^DM$3*5*DM$7)</f>
        <v>1.9553847221876073</v>
      </c>
      <c r="DO94" s="110">
        <f t="shared" si="669"/>
        <v>0.94492948599335691</v>
      </c>
      <c r="DP94" s="110">
        <f t="shared" si="670"/>
        <v>0.86980684433190791</v>
      </c>
      <c r="DR94" s="110">
        <f t="shared" si="671"/>
        <v>0.86880635953815977</v>
      </c>
      <c r="DS94" s="125" t="str">
        <f t="shared" si="806"/>
        <v>-</v>
      </c>
      <c r="DT94" s="110">
        <f t="shared" si="673"/>
        <v>0.89888832879008917</v>
      </c>
      <c r="DU94" s="125" t="str">
        <f t="shared" si="807"/>
        <v>-</v>
      </c>
      <c r="DV94" s="110">
        <f>IF(SeilBeregnet=0,DV93,SeilBeregnet^0.5/Depl^0.33333)</f>
        <v>3.7316026994403337</v>
      </c>
      <c r="DW94" s="110">
        <f>IF(SeilBeregnet=0,DW93,Lwl^0.3333)</f>
        <v>1.8170120679720481</v>
      </c>
      <c r="DX94" s="110">
        <f>IF(SeilBeregnet=0,DX93,((Loa+Lwl)/Bredde)^DX$3)</f>
        <v>1.5845649364761685</v>
      </c>
      <c r="DZ94" s="110">
        <f t="shared" si="675"/>
        <v>0.90200491036785302</v>
      </c>
      <c r="EB94" s="110">
        <f>IF(SeilBeregnet=0,EB93,SeilBeregnet^0.5/Depl^0.33333)</f>
        <v>3.7316026994403337</v>
      </c>
      <c r="EC94" s="110">
        <f>IF(SeilBeregnet=0,EC93,Lwl^EC$3)</f>
        <v>1.8171097400544527</v>
      </c>
      <c r="ED94" s="110">
        <f>IF(SeilBeregnet=0,ED93,((Loa+Lwl)/Bredde)^ED$3)</f>
        <v>1.8472261475253902</v>
      </c>
      <c r="EE94" s="110">
        <f t="shared" si="676"/>
        <v>0.89160065091172003</v>
      </c>
      <c r="EG94" s="110">
        <f>IF(SeilBeregnet=0,EG93,(EH94*EI94)^EG$3)</f>
        <v>5.9129667943929709</v>
      </c>
      <c r="EH94" s="110">
        <f>IF(SeilBeregnet=0,EH93,SeilBeregnet^0.5/Depl^0.33333)</f>
        <v>3.7316026994403337</v>
      </c>
      <c r="EI94" s="110">
        <f>IF(SeilBeregnet=0,EI93,((Loa+Lwl)/Bredde)^EI$3)</f>
        <v>1.5845649364761685</v>
      </c>
      <c r="EJ94" s="110">
        <f>IF(SeilBeregnet=0,EJ93,Lwl^EJ$3)</f>
        <v>1.5650845800732873</v>
      </c>
      <c r="EK94" s="110">
        <f>IF(SeilBeregnet=0,"-",EK$7*(EK$4*EM:EM+EK$6)*EP:EP*PropF+ErfaringsF+Dyp_F)</f>
        <v>0.9035151850751697</v>
      </c>
      <c r="EM94" s="110">
        <f>IF(SeilBeregnet=0,EM93,(EN:EN*EO:EO)^EM$3)</f>
        <v>1.9437204940306041</v>
      </c>
      <c r="EN94" s="110">
        <f>IF(SeilBeregnet=0,EN93,SeilBeregnet^0.5/Depl^0.33333)</f>
        <v>3.7316026994403337</v>
      </c>
      <c r="EO94" s="110">
        <f>IF(SeilBeregnet=0,EO93,((Loa+Lwl)/Bredde/6)^EO$3)</f>
        <v>1.0124468393918806</v>
      </c>
      <c r="EP94" s="110">
        <f>IF(SeilBeregnet=0,EP93,(Lwl*0.7+Loa*0.3)^EP$3)</f>
        <v>1.6118548977353129</v>
      </c>
      <c r="EQ94" s="110">
        <f>IF(SeilBeregnet=0,"-",EQ$7*(ES:ES+EQ$6)*EV:EV*PropF+ErfaringsF+Dyp_F)</f>
        <v>0.85732243764894078</v>
      </c>
      <c r="ES94" s="110">
        <f>(ET:ET*EU:EU)^ES$3</f>
        <v>1.9437494533037365</v>
      </c>
      <c r="ET94" s="110">
        <f>IF(SeilBeregnet=0,ET93,SeilBeregnet^0.5/Depl^0.3333)</f>
        <v>3.7317138937269059</v>
      </c>
      <c r="EU94" s="110">
        <f>IF(SeilBeregnet=0,EU93,((Loa+Lwl)/Bredde/6)^EU$3)</f>
        <v>1.0124468393918806</v>
      </c>
      <c r="EV94" s="110">
        <f>IF(SeilBeregnet=0,EV93,(Lwl*0.7+Loa*0.3)^EV$3)</f>
        <v>1.6118548977353129</v>
      </c>
      <c r="EW94" s="110">
        <f>IF(SeilBeregnet=0,"-",EW$7*(EY:EY+EW$6)*FB:FB*PropF+ErfaringsF+Dyp_F)</f>
        <v>0.90288410639652528</v>
      </c>
      <c r="EX94" s="144" t="str">
        <f t="shared" si="808"/>
        <v>-</v>
      </c>
      <c r="EY94" s="110">
        <f>(EZ:EZ*FA:FA)^EY$3</f>
        <v>3.8251881120476496</v>
      </c>
      <c r="EZ94" s="136">
        <f>IF(SeilBeregnet=0,EZ93,(SeilBeregnet^0.5/(Depl^0.3333))^EZ$3)</f>
        <v>3.7317138937269059</v>
      </c>
      <c r="FA94" s="136">
        <f>IF(SeilBeregnet=0,FA93,((Loa+Lwl)/Bredde/6)^FA$3)</f>
        <v>1.0250486025946084</v>
      </c>
      <c r="FB94" s="110">
        <f>IF(SeilBeregnet=0,FB93,(Lwl*0.07+Loa*0.03)^FB$3)</f>
        <v>0.90641261920703042</v>
      </c>
      <c r="FC94" s="110">
        <f>IF(SeilBeregnet=0,"-",FC$7*(FE:FE+FC$6)*FI:FI*PropF+ErfaringsF+Dyp_F)</f>
        <v>0.90451579822566996</v>
      </c>
      <c r="FD94" s="144" t="str">
        <f t="shared" si="809"/>
        <v>-</v>
      </c>
      <c r="FE94" s="110">
        <f>(FF:FF+FG:FG+FH:FH)^FE$3+FE$7</f>
        <v>6.0201472078969225</v>
      </c>
      <c r="FF94" s="136">
        <f>IF(SeilBeregnet=0,FF93,(SeilBeregnet^0.5/(Depl^0.3333))^FF$3)</f>
        <v>3.7317138937269059</v>
      </c>
      <c r="FG94" s="136">
        <f>IF(SeilBeregnet=0,FG93,(SeilBeregnet^0.5/Lwl*FG$7)^FG$3)</f>
        <v>0.86602540378443871</v>
      </c>
      <c r="FH94" s="136">
        <f>IF(SeilBeregnet=0,FH93,((Loa)/Bredde)^FH$3*FH$7)</f>
        <v>1.9224079103855778</v>
      </c>
      <c r="FI94" s="110">
        <f>IF(SeilBeregnet=0,FI93,(Lwl)^FI$3)</f>
        <v>1.5650845800732873</v>
      </c>
      <c r="FJ94" s="110">
        <f>IF(SeilBeregnet=0,"-",FJ$7*(FL:FL+FJ$6)*FO:FO*PropF+ErfaringsF+Dyp_F)</f>
        <v>0.90937919853198101</v>
      </c>
      <c r="FK94" s="144" t="str">
        <f t="shared" si="810"/>
        <v>-</v>
      </c>
      <c r="FL94" s="110">
        <f>(FM:FM*FN:FN)^FL$3</f>
        <v>7.1738763085963688</v>
      </c>
      <c r="FM94" s="136">
        <f>IF(SeilBeregnet=0,FM93,(SeilBeregnet^0.5/(Depl^0.3333))^FM$3)</f>
        <v>3.7317138937269059</v>
      </c>
      <c r="FN94" s="136">
        <f>IF(SeilBeregnet=0,FN93,(Loa/Bredde)^FN$3)</f>
        <v>1.9224079103855778</v>
      </c>
      <c r="FO94" s="110">
        <f>IF(SeilBeregnet=0,FO93,Lwl^FO$3)</f>
        <v>1.5650845800732873</v>
      </c>
      <c r="FQ94" s="374">
        <v>1</v>
      </c>
      <c r="FR94" s="64">
        <f t="shared" si="811"/>
        <v>1.1138883001323205</v>
      </c>
      <c r="FS94" s="479"/>
      <c r="FT94" s="18"/>
      <c r="FU94" s="481"/>
      <c r="FV94" s="504"/>
      <c r="FW94" s="18"/>
      <c r="FX94" s="18"/>
      <c r="FY94" s="18"/>
      <c r="FZ94" s="18"/>
      <c r="GB94" s="18"/>
      <c r="GC94" s="481"/>
      <c r="GD94" s="8"/>
      <c r="GE94" s="8"/>
      <c r="GF94" s="8"/>
      <c r="GG94" s="8"/>
      <c r="GI94" s="18"/>
      <c r="GJ94" s="18"/>
      <c r="GK94" s="18"/>
      <c r="GL94" s="18"/>
      <c r="GM94" s="18"/>
      <c r="GN94" s="18"/>
      <c r="GO94" s="18"/>
      <c r="GP94" s="18"/>
    </row>
    <row r="95" spans="1:198" ht="15.6" x14ac:dyDescent="0.3">
      <c r="A95" s="62" t="s">
        <v>38</v>
      </c>
      <c r="B95" s="223"/>
      <c r="C95" s="63" t="str">
        <f>C94</f>
        <v>Bermuda</v>
      </c>
      <c r="D95" s="63"/>
      <c r="E95" s="63"/>
      <c r="F95" s="63"/>
      <c r="G95" s="56"/>
      <c r="H95" s="209">
        <f>TBFavrundet</f>
        <v>89.999999999999986</v>
      </c>
      <c r="I95" s="65">
        <f>COUNTA(O95:AD95)</f>
        <v>2</v>
      </c>
      <c r="J95" s="228">
        <f>SUM(O95:AD95)</f>
        <v>24.2</v>
      </c>
      <c r="K95" s="119">
        <f>Seilareal/Depl^0.667/K$7</f>
        <v>1.1407726390022108</v>
      </c>
      <c r="L95" s="119">
        <f>Seilareal/Lwl/Lwl/L$7</f>
        <v>1.0199757323958665</v>
      </c>
      <c r="M95" s="95">
        <f>RiggF</f>
        <v>0.97066115702479339</v>
      </c>
      <c r="N95" s="265">
        <f>StHfaktor</f>
        <v>1.0685777208211982</v>
      </c>
      <c r="O95" s="147"/>
      <c r="P95" s="88">
        <f t="shared" si="838"/>
        <v>10</v>
      </c>
      <c r="Q95" s="147"/>
      <c r="R95" s="147"/>
      <c r="S95" s="147"/>
      <c r="T95" s="147"/>
      <c r="U95" s="148"/>
      <c r="V95" s="148"/>
      <c r="W95" s="148"/>
      <c r="X95" s="148"/>
      <c r="Y95" s="147"/>
      <c r="Z95" s="147"/>
      <c r="AA95" s="147"/>
      <c r="AB95" s="147"/>
      <c r="AC95" s="169">
        <v>14.2</v>
      </c>
      <c r="AD95" s="148"/>
      <c r="AE95" s="260">
        <f t="shared" ref="AE95" si="848">AE94</f>
        <v>10.199999999999999</v>
      </c>
      <c r="AF95" s="375">
        <f t="shared" si="841"/>
        <v>0</v>
      </c>
      <c r="AG95" s="377"/>
      <c r="AH95" s="375">
        <f t="shared" si="841"/>
        <v>0</v>
      </c>
      <c r="AI95" s="377"/>
      <c r="AJ95" s="295" t="str">
        <f t="shared" si="842"/>
        <v>Meter</v>
      </c>
      <c r="AK95" s="47">
        <f>VLOOKUP(AJ95,Skrogform!$1:$1048576,3,FALSE)</f>
        <v>1</v>
      </c>
      <c r="AL95" s="66">
        <f t="shared" ref="AL95:AT95" si="849">AL94</f>
        <v>8.5</v>
      </c>
      <c r="AM95" s="66">
        <f t="shared" si="849"/>
        <v>6</v>
      </c>
      <c r="AN95" s="66">
        <f t="shared" si="849"/>
        <v>2.2999999999999998</v>
      </c>
      <c r="AO95" s="66">
        <f t="shared" si="849"/>
        <v>1.3</v>
      </c>
      <c r="AP95" s="66">
        <f t="shared" si="849"/>
        <v>2.7</v>
      </c>
      <c r="AQ95" s="66">
        <f t="shared" si="849"/>
        <v>1</v>
      </c>
      <c r="AR95" s="66">
        <f t="shared" si="849"/>
        <v>0</v>
      </c>
      <c r="AS95" s="284">
        <f t="shared" si="849"/>
        <v>20</v>
      </c>
      <c r="AT95" s="284">
        <f t="shared" si="849"/>
        <v>140</v>
      </c>
      <c r="AU95" s="284">
        <f t="shared" ref="AU95:AV95" si="850">AU94</f>
        <v>0</v>
      </c>
      <c r="AV95" s="284">
        <f t="shared" si="850"/>
        <v>0</v>
      </c>
      <c r="AW95" s="284"/>
      <c r="AX95" s="284">
        <f>AX94</f>
        <v>100</v>
      </c>
      <c r="AY95" s="68"/>
      <c r="AZ95" s="68"/>
      <c r="BA95" s="289"/>
      <c r="BB95" s="68"/>
      <c r="BC95" s="179"/>
      <c r="BD95" s="68"/>
      <c r="BE95" s="68"/>
      <c r="BF95" s="67" t="str">
        <f t="shared" ref="BF95:BH95" si="851" xml:space="preserve"> BF94</f>
        <v>Seilrett</v>
      </c>
      <c r="BG95" s="295">
        <f t="shared" si="851"/>
        <v>3</v>
      </c>
      <c r="BH95" s="295">
        <f t="shared" si="851"/>
        <v>30</v>
      </c>
      <c r="BI95" s="47">
        <f t="shared" si="663"/>
        <v>1</v>
      </c>
      <c r="BJ95" s="61"/>
      <c r="BK95" s="61"/>
      <c r="BM95" s="51">
        <f t="shared" si="846"/>
        <v>0</v>
      </c>
      <c r="BN95" s="51">
        <f t="shared" si="846"/>
        <v>10</v>
      </c>
      <c r="BO95" s="51">
        <f t="shared" si="846"/>
        <v>0</v>
      </c>
      <c r="BP95" s="51">
        <f t="shared" si="846"/>
        <v>0</v>
      </c>
      <c r="BQ95" s="51">
        <f t="shared" si="846"/>
        <v>0</v>
      </c>
      <c r="BR95" s="51">
        <f t="shared" si="846"/>
        <v>0</v>
      </c>
      <c r="BS95" s="52">
        <f>IF(COUNT(P95:T95)&gt;1,MINA(P95:T95)*BS$9,0)</f>
        <v>0</v>
      </c>
      <c r="BT95" s="88">
        <f t="shared" si="847"/>
        <v>0</v>
      </c>
      <c r="BU95" s="88">
        <f t="shared" si="847"/>
        <v>0</v>
      </c>
      <c r="BV95" s="88">
        <f t="shared" si="847"/>
        <v>0</v>
      </c>
      <c r="BW95" s="88">
        <f t="shared" si="847"/>
        <v>0</v>
      </c>
      <c r="BX95" s="88">
        <f t="shared" si="847"/>
        <v>0</v>
      </c>
      <c r="BY95" s="88">
        <f t="shared" si="847"/>
        <v>0</v>
      </c>
      <c r="BZ95" s="88">
        <f t="shared" si="847"/>
        <v>0</v>
      </c>
      <c r="CA95" s="88">
        <f t="shared" si="847"/>
        <v>0</v>
      </c>
      <c r="CB95" s="88">
        <f t="shared" si="847"/>
        <v>13.489999999999998</v>
      </c>
      <c r="CC95" s="88">
        <f t="shared" si="847"/>
        <v>0</v>
      </c>
      <c r="CD95" s="103">
        <f>SUM(BM95:CC95)</f>
        <v>23.49</v>
      </c>
      <c r="CE95" s="52"/>
      <c r="CF95" s="107">
        <f>J95</f>
        <v>24.2</v>
      </c>
      <c r="CG95" s="104">
        <f>CD95/CF95</f>
        <v>0.97066115702479339</v>
      </c>
      <c r="CH95" s="53">
        <f>Seilareal/Lwl/Lwl</f>
        <v>0.67222222222222217</v>
      </c>
      <c r="CI95" s="119">
        <f>Seilareal/Depl^0.667/K$7</f>
        <v>1.1407726390022108</v>
      </c>
      <c r="CJ95" s="53">
        <f>Seilareal/Lwl/Lwl/SApRS1</f>
        <v>1.0199757323958665</v>
      </c>
      <c r="CK95" s="209"/>
      <c r="CL95" s="209">
        <f>(ROUND(TBF/CL$6,3)*CL$6)*CL$4</f>
        <v>89.999999999999986</v>
      </c>
      <c r="CM95" s="110">
        <f t="shared" si="690"/>
        <v>0.90127658205451011</v>
      </c>
      <c r="CN95" s="64">
        <f>IF(SeilBeregnet=0,"-",(SeilBeregnet)^(1/2)*StHfaktor/(Depl+DeplTillegg/1000+Vann/1000+Diesel/1000*0.84)^(1/3))</f>
        <v>3.6317417412277582</v>
      </c>
      <c r="CO95" s="64">
        <f t="shared" si="659"/>
        <v>1.7754362599213407</v>
      </c>
      <c r="CP95" s="64">
        <f t="shared" si="660"/>
        <v>1.5650845800732873</v>
      </c>
      <c r="CQ95" s="110">
        <f t="shared" si="661"/>
        <v>1.0685777208211982</v>
      </c>
      <c r="CR95" s="172" t="str">
        <f t="shared" si="691"/>
        <v>-</v>
      </c>
      <c r="CS95" s="162"/>
      <c r="CT95" s="172" t="str">
        <f t="shared" si="692"/>
        <v>-</v>
      </c>
      <c r="CU95" s="164"/>
      <c r="CV95" s="195" t="s">
        <v>145</v>
      </c>
      <c r="CW95" s="64" t="s">
        <v>111</v>
      </c>
      <c r="CX95" s="64" t="s">
        <v>111</v>
      </c>
      <c r="CY95" s="64" t="s">
        <v>111</v>
      </c>
      <c r="CZ95" s="154" t="s">
        <v>111</v>
      </c>
      <c r="DA95" s="64">
        <f t="shared" si="664"/>
        <v>2.2374785480253223</v>
      </c>
      <c r="DB95" s="49">
        <f t="shared" si="665"/>
        <v>13.978494623655912</v>
      </c>
      <c r="DC95" s="50">
        <f t="shared" si="666"/>
        <v>0</v>
      </c>
      <c r="DE95" s="110">
        <f>IF(SeilBeregnet=0,"-",DE$7*(DG:DG+DE$6)*DL:DL*PropF+ErfaringsF+Dyp_F)</f>
        <v>0.85409014725627252</v>
      </c>
      <c r="DF95" s="144" t="str">
        <f t="shared" si="805"/>
        <v>-</v>
      </c>
      <c r="DG95" s="110">
        <f t="shared" si="668"/>
        <v>5.4031189108324629</v>
      </c>
      <c r="DH95" s="136">
        <f>IF(SeilBeregnet=0,DH94,(SeilBeregnet^0.5/(Depl^0.3333))^DH$3*DH$7)</f>
        <v>3.4807110004468846</v>
      </c>
      <c r="DI95" s="136">
        <f>IF(SeilBeregnet=0,DI94,(SeilBeregnet^0.5/Lwl)^DI$3*DI$7)</f>
        <v>0</v>
      </c>
      <c r="DJ95" s="136">
        <f>IF(SeilBeregnet=0,DJ94,(0.1*Loa/Depl^0.3333)^DJ$3*DJ$7)</f>
        <v>0</v>
      </c>
      <c r="DK95" s="136">
        <f>IF(SeilBeregnet=0,DK94,((Loa)/Bredde)^DK$3*DK$7)</f>
        <v>1.9224079103855778</v>
      </c>
      <c r="DL95" s="110">
        <f>IF(SeilBeregnet=0,DL94,(Lwl)^DL$3)</f>
        <v>1.5650845800732873</v>
      </c>
      <c r="DM95" s="136">
        <f>IF(SeilBeregnet=0,DM94,(Dypg/Loa)^DM$3*5*DM$7)</f>
        <v>1.9553847221876073</v>
      </c>
      <c r="DO95" s="110">
        <f t="shared" si="669"/>
        <v>0.90127658205451011</v>
      </c>
      <c r="DP95" s="110">
        <f t="shared" si="670"/>
        <v>0.8245734105107686</v>
      </c>
      <c r="DR95" s="110">
        <f t="shared" si="671"/>
        <v>0.83296378771220991</v>
      </c>
      <c r="DS95" s="125" t="str">
        <f t="shared" si="806"/>
        <v>-</v>
      </c>
      <c r="DT95" s="110">
        <f t="shared" si="673"/>
        <v>0.85360157791068736</v>
      </c>
      <c r="DU95" s="125" t="str">
        <f t="shared" si="807"/>
        <v>-</v>
      </c>
      <c r="DV95" s="110">
        <f>IF(SeilBeregnet=0,DV94,SeilBeregnet^0.5/Depl^0.33333)</f>
        <v>3.4806072853209447</v>
      </c>
      <c r="DW95" s="110">
        <f>IF(SeilBeregnet=0,DW94,Lwl^0.3333)</f>
        <v>1.8170120679720481</v>
      </c>
      <c r="DX95" s="110">
        <f>IF(SeilBeregnet=0,DX94,((Loa+Lwl)/Bredde)^DX$3)</f>
        <v>1.5845649364761685</v>
      </c>
      <c r="DZ95" s="110">
        <f t="shared" si="675"/>
        <v>0.86098403487230635</v>
      </c>
      <c r="EB95" s="110">
        <f>IF(SeilBeregnet=0,EB94,SeilBeregnet^0.5/Depl^0.33333)</f>
        <v>3.4806072853209447</v>
      </c>
      <c r="EC95" s="110">
        <f>IF(SeilBeregnet=0,EC94,Lwl^EC$3)</f>
        <v>1.8171097400544527</v>
      </c>
      <c r="ED95" s="110">
        <f>IF(SeilBeregnet=0,ED94,((Loa+Lwl)/Bredde)^ED$3)</f>
        <v>1.8472261475253902</v>
      </c>
      <c r="EE95" s="110">
        <f t="shared" si="676"/>
        <v>0.84678735754046253</v>
      </c>
      <c r="EG95" s="110">
        <f>IF(SeilBeregnet=0,EG94,(EH95*EI95)^EG$3)</f>
        <v>5.5152482619630723</v>
      </c>
      <c r="EH95" s="110">
        <f>IF(SeilBeregnet=0,EH94,SeilBeregnet^0.5/Depl^0.33333)</f>
        <v>3.4806072853209447</v>
      </c>
      <c r="EI95" s="110">
        <f>IF(SeilBeregnet=0,EI94,((Loa+Lwl)/Bredde)^EI$3)</f>
        <v>1.5845649364761685</v>
      </c>
      <c r="EJ95" s="110">
        <f>IF(SeilBeregnet=0,EJ94,Lwl^EJ$3)</f>
        <v>1.5650845800732873</v>
      </c>
      <c r="EK95" s="110">
        <f>IF(SeilBeregnet=0,"-",EK$7*(EK$4*EM:EM+EK$6)*EP:EP*PropF+ErfaringsF+Dyp_F)</f>
        <v>0.86189338724976927</v>
      </c>
      <c r="EM95" s="110">
        <f>IF(SeilBeregnet=0,EM94,(EN:EN*EO:EO)^EM$3)</f>
        <v>1.8772133190416971</v>
      </c>
      <c r="EN95" s="110">
        <f>IF(SeilBeregnet=0,EN94,SeilBeregnet^0.5/Depl^0.33333)</f>
        <v>3.4806072853209447</v>
      </c>
      <c r="EO95" s="110">
        <f>IF(SeilBeregnet=0,EO94,((Loa+Lwl)/Bredde/6)^EO$3)</f>
        <v>1.0124468393918806</v>
      </c>
      <c r="EP95" s="110">
        <f>IF(SeilBeregnet=0,EP94,(Lwl*0.7+Loa*0.3)^EP$3)</f>
        <v>1.6118548977353129</v>
      </c>
      <c r="EQ95" s="110">
        <f>IF(SeilBeregnet=0,"-",EQ$7*(ES:ES+EQ$6)*EV:EV*PropF+ErfaringsF+Dyp_F)</f>
        <v>0.82798792501826979</v>
      </c>
      <c r="ES95" s="110">
        <f>(ET:ET*EU:EU)^ES$3</f>
        <v>1.8772412874319058</v>
      </c>
      <c r="ET95" s="110">
        <f>IF(SeilBeregnet=0,ET94,SeilBeregnet^0.5/Depl^0.3333)</f>
        <v>3.4807110004468846</v>
      </c>
      <c r="EU95" s="110">
        <f>IF(SeilBeregnet=0,EU94,((Loa+Lwl)/Bredde/6)^EU$3)</f>
        <v>1.0124468393918806</v>
      </c>
      <c r="EV95" s="110">
        <f>IF(SeilBeregnet=0,EV94,(Lwl*0.7+Loa*0.3)^EV$3)</f>
        <v>1.6118548977353129</v>
      </c>
      <c r="EW95" s="110">
        <f>IF(SeilBeregnet=0,"-",EW$7*(EY:EY+EW$6)*FB:FB*PropF+ErfaringsF+Dyp_F)</f>
        <v>0.86300501644341254</v>
      </c>
      <c r="EX95" s="144" t="str">
        <f t="shared" si="808"/>
        <v>-</v>
      </c>
      <c r="EY95" s="110">
        <f>(EZ:EZ*FA:FA)^EY$3</f>
        <v>3.5678979470437606</v>
      </c>
      <c r="EZ95" s="136">
        <f>IF(SeilBeregnet=0,EZ94,(SeilBeregnet^0.5/(Depl^0.3333))^EZ$3)</f>
        <v>3.4807110004468846</v>
      </c>
      <c r="FA95" s="136">
        <f>IF(SeilBeregnet=0,FA94,((Loa+Lwl)/Bredde/6)^FA$3)</f>
        <v>1.0250486025946084</v>
      </c>
      <c r="FB95" s="110">
        <f>IF(SeilBeregnet=0,FB94,(Lwl*0.07+Loa*0.03)^FB$3)</f>
        <v>0.90641261920703042</v>
      </c>
      <c r="FC95" s="110">
        <f>IF(SeilBeregnet=0,"-",FC$7*(FE:FE+FC$6)*FI:FI*PropF+ErfaringsF+Dyp_F)</f>
        <v>0.85805102992603677</v>
      </c>
      <c r="FD95" s="144" t="str">
        <f t="shared" si="809"/>
        <v>-</v>
      </c>
      <c r="FE95" s="110">
        <f>(FF:FF+FG:FG+FH:FH)^FE$3+FE$7</f>
        <v>5.7108936319026373</v>
      </c>
      <c r="FF95" s="136">
        <f>IF(SeilBeregnet=0,FF94,(SeilBeregnet^0.5/(Depl^0.3333))^FF$3)</f>
        <v>3.4807110004468846</v>
      </c>
      <c r="FG95" s="136">
        <f>IF(SeilBeregnet=0,FG94,(SeilBeregnet^0.5/Lwl*FG$7)^FG$3)</f>
        <v>0.80777472107017567</v>
      </c>
      <c r="FH95" s="136">
        <f>IF(SeilBeregnet=0,FH94,((Loa)/Bredde)^FH$3*FH$7)</f>
        <v>1.9224079103855778</v>
      </c>
      <c r="FI95" s="110">
        <f>IF(SeilBeregnet=0,FI94,(Lwl)^FI$3)</f>
        <v>1.5650845800732873</v>
      </c>
      <c r="FJ95" s="110">
        <f>IF(SeilBeregnet=0,"-",FJ$7*(FL:FL+FJ$6)*FO:FO*PropF+ErfaringsF+Dyp_F)</f>
        <v>0.87010878915288525</v>
      </c>
      <c r="FK95" s="144" t="str">
        <f t="shared" si="810"/>
        <v>-</v>
      </c>
      <c r="FL95" s="110">
        <f>(FM:FM*FN:FN)^FL$3</f>
        <v>6.6913463610251895</v>
      </c>
      <c r="FM95" s="136">
        <f>IF(SeilBeregnet=0,FM94,(SeilBeregnet^0.5/(Depl^0.3333))^FM$3)</f>
        <v>3.4807110004468846</v>
      </c>
      <c r="FN95" s="136">
        <f>IF(SeilBeregnet=0,FN94,(Loa/Bredde)^FN$3)</f>
        <v>1.9224079103855778</v>
      </c>
      <c r="FO95" s="110">
        <f>IF(SeilBeregnet=0,FO94,Lwl^FO$3)</f>
        <v>1.5650845800732873</v>
      </c>
      <c r="FQ95" s="374">
        <v>1</v>
      </c>
      <c r="FR95" s="64">
        <f t="shared" si="811"/>
        <v>1.0771468284042123</v>
      </c>
      <c r="FS95" s="479"/>
      <c r="FT95" s="18"/>
      <c r="FU95" s="481"/>
      <c r="FV95" s="504"/>
      <c r="FW95" s="18"/>
      <c r="FX95" s="18"/>
      <c r="FY95" s="18"/>
      <c r="FZ95" s="18"/>
      <c r="GB95" s="18"/>
      <c r="GC95" s="481"/>
      <c r="GD95" s="8"/>
      <c r="GE95" s="8"/>
      <c r="GF95" s="8"/>
      <c r="GG95" s="8"/>
      <c r="GI95" s="18"/>
      <c r="GJ95" s="18"/>
      <c r="GK95" s="18"/>
      <c r="GL95" s="18"/>
      <c r="GM95" s="18"/>
      <c r="GN95" s="18"/>
      <c r="GO95" s="18"/>
      <c r="GP95" s="18"/>
    </row>
    <row r="96" spans="1:198" ht="17.399999999999999" x14ac:dyDescent="0.3">
      <c r="A96" s="118" t="s">
        <v>292</v>
      </c>
      <c r="B96" s="100"/>
      <c r="C96" s="100"/>
      <c r="D96" s="100"/>
      <c r="E96" s="100"/>
      <c r="F96" s="100"/>
      <c r="G96" s="100"/>
      <c r="H96" s="210"/>
      <c r="I96" s="100"/>
      <c r="J96" s="230"/>
      <c r="K96" s="230"/>
      <c r="L96" s="230"/>
      <c r="M96" s="230"/>
      <c r="N96" s="266"/>
      <c r="O96" s="230"/>
      <c r="P96" s="230"/>
      <c r="Q96" s="230"/>
      <c r="R96" s="230"/>
      <c r="S96" s="271" t="s">
        <v>140</v>
      </c>
      <c r="T96" s="272"/>
      <c r="U96" s="271"/>
      <c r="V96" s="181">
        <f>StorS-StorS/6</f>
        <v>0</v>
      </c>
      <c r="W96" s="181">
        <f>StorS-StorS/6*1.9</f>
        <v>0</v>
      </c>
      <c r="X96" s="230"/>
      <c r="Y96" s="230"/>
      <c r="Z96" s="230"/>
      <c r="AA96" s="230"/>
      <c r="AB96" s="230"/>
      <c r="AC96" s="230"/>
      <c r="AD96" s="230"/>
      <c r="AE96" s="261"/>
      <c r="AF96" s="297"/>
      <c r="AG96" s="379"/>
      <c r="AH96" s="297"/>
      <c r="AI96" s="379"/>
      <c r="AJ96" s="297"/>
      <c r="AK96" s="10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0"/>
      <c r="AY96" s="230"/>
      <c r="AZ96" s="230"/>
      <c r="BA96" s="230"/>
      <c r="BB96" s="230"/>
      <c r="BC96" s="230"/>
      <c r="BD96" s="230"/>
      <c r="BE96" s="230"/>
      <c r="BF96" s="230"/>
      <c r="BG96" s="297"/>
      <c r="BH96" s="297"/>
      <c r="BI96" s="100"/>
      <c r="BJ96" s="100"/>
      <c r="BK96" s="100"/>
      <c r="BL96" s="62"/>
      <c r="BM96" s="100"/>
      <c r="BN96" s="100"/>
      <c r="BO96" s="100"/>
      <c r="BP96" s="100"/>
      <c r="BQ96" s="100"/>
      <c r="BR96" s="100"/>
      <c r="BS96" s="52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5"/>
      <c r="CE96" s="100"/>
      <c r="CF96" s="108"/>
      <c r="CG96" s="106"/>
      <c r="CH96" s="100"/>
      <c r="CI96" s="230"/>
      <c r="CJ96" s="100"/>
      <c r="CK96" s="210"/>
      <c r="CL96" s="210"/>
      <c r="CM96" s="110" t="str">
        <f t="shared" si="690"/>
        <v>-</v>
      </c>
      <c r="CN96" s="64" t="str">
        <f>IF(SeilBeregnet=0,"-",(SeilBeregnet)^(1/2)*StHfaktor/(Depl+DeplTillegg/1000+Vann/1000+Diesel/1000*0.84)^(1/3))</f>
        <v>-</v>
      </c>
      <c r="CO96" s="64" t="str">
        <f t="shared" si="659"/>
        <v>-</v>
      </c>
      <c r="CP96" s="64" t="str">
        <f t="shared" si="660"/>
        <v>-</v>
      </c>
      <c r="CQ96" s="110" t="str">
        <f t="shared" si="661"/>
        <v>-</v>
      </c>
      <c r="CR96" s="172" t="str">
        <f t="shared" si="691"/>
        <v>-</v>
      </c>
      <c r="CS96" s="166"/>
      <c r="CT96" s="172" t="str">
        <f t="shared" si="692"/>
        <v>-</v>
      </c>
      <c r="CU96" s="166"/>
      <c r="CV96" s="166"/>
      <c r="CW96" s="166"/>
      <c r="CX96" s="166"/>
      <c r="CY96" s="166"/>
      <c r="CZ96" s="166"/>
      <c r="DA96" s="166"/>
      <c r="DB96" s="166"/>
      <c r="DC96" s="166"/>
      <c r="DD96" s="166"/>
      <c r="DE96" s="166"/>
      <c r="DF96" s="166"/>
      <c r="DG96" s="166"/>
      <c r="DH96" s="166"/>
      <c r="DI96" s="166"/>
      <c r="DJ96" s="166"/>
      <c r="DK96" s="166"/>
      <c r="DL96" s="166"/>
      <c r="DM96" s="166"/>
      <c r="DN96" s="166"/>
      <c r="DO96" s="166"/>
      <c r="DP96" s="166"/>
      <c r="DQ96" s="166"/>
      <c r="DR96" s="166"/>
      <c r="DS96" s="166"/>
      <c r="DT96" s="166"/>
      <c r="DU96" s="166"/>
      <c r="DV96" s="166"/>
      <c r="DW96" s="166"/>
      <c r="DX96" s="166"/>
      <c r="DY96" s="166"/>
      <c r="DZ96" s="166"/>
      <c r="EA96" s="166"/>
      <c r="EB96" s="166"/>
      <c r="EC96" s="166"/>
      <c r="ED96" s="166"/>
      <c r="EE96" s="166"/>
      <c r="EF96" s="166"/>
      <c r="EG96" s="166"/>
      <c r="EH96" s="166"/>
      <c r="EI96" s="166"/>
      <c r="EJ96" s="166"/>
      <c r="EK96" s="166"/>
      <c r="EL96" s="166"/>
      <c r="EM96" s="166"/>
      <c r="EN96" s="166"/>
      <c r="EO96" s="166"/>
      <c r="EP96" s="166"/>
      <c r="EQ96" s="166"/>
      <c r="ER96" s="166"/>
      <c r="ES96" s="166"/>
      <c r="ET96" s="166"/>
      <c r="EU96" s="166"/>
      <c r="EV96" s="166"/>
      <c r="EW96" s="166"/>
      <c r="EX96" s="166"/>
      <c r="EY96" s="166"/>
      <c r="EZ96" s="166"/>
      <c r="FA96" s="166"/>
      <c r="FB96" s="166"/>
      <c r="FC96" s="166"/>
      <c r="FD96" s="166"/>
      <c r="FE96" s="166"/>
      <c r="FF96" s="166"/>
      <c r="FG96" s="166"/>
      <c r="FH96" s="166"/>
      <c r="FI96" s="166"/>
      <c r="FJ96" s="166"/>
      <c r="FK96" s="166"/>
      <c r="FL96" s="166"/>
      <c r="FM96" s="166"/>
      <c r="FN96" s="166"/>
      <c r="FO96" s="166"/>
      <c r="FP96" s="568"/>
      <c r="FQ96" s="166"/>
      <c r="FR96" s="64"/>
      <c r="FS96" s="100"/>
      <c r="FT96" s="100"/>
      <c r="FU96" s="483"/>
      <c r="FV96" s="100"/>
      <c r="FW96" s="477"/>
      <c r="FX96" s="477"/>
      <c r="FY96" s="477"/>
      <c r="FZ96" s="477"/>
      <c r="GB96" s="100"/>
      <c r="GC96" s="483"/>
      <c r="GD96" s="100"/>
      <c r="GE96" s="100"/>
      <c r="GF96" s="100"/>
      <c r="GG96" s="100"/>
      <c r="GI96" s="477"/>
      <c r="GJ96" s="477"/>
      <c r="GK96" s="477"/>
      <c r="GL96" s="477"/>
      <c r="GM96" s="477"/>
      <c r="GN96" s="477"/>
      <c r="GO96" s="477"/>
      <c r="GP96" s="477"/>
    </row>
    <row r="97" spans="1:198" ht="15.6" x14ac:dyDescent="0.3">
      <c r="A97" s="54" t="s">
        <v>91</v>
      </c>
      <c r="B97" s="223">
        <f t="shared" ref="B97" si="852">Loa/0.3048</f>
        <v>41.830708661417319</v>
      </c>
      <c r="C97" s="55" t="s">
        <v>22</v>
      </c>
      <c r="D97" s="55"/>
      <c r="E97" s="55"/>
      <c r="F97" s="55"/>
      <c r="G97" s="56"/>
      <c r="H97" s="209"/>
      <c r="I97" s="126" t="str">
        <f>A97</f>
        <v>LS Frithjof II</v>
      </c>
      <c r="J97" s="229"/>
      <c r="K97" s="119"/>
      <c r="L97" s="119"/>
      <c r="M97" s="95"/>
      <c r="N97" s="265"/>
      <c r="O97" s="169"/>
      <c r="P97" s="169"/>
      <c r="Q97" s="169">
        <v>26.7</v>
      </c>
      <c r="R97" s="169">
        <v>15.2</v>
      </c>
      <c r="S97" s="169"/>
      <c r="T97" s="169">
        <v>24.5</v>
      </c>
      <c r="U97" s="169">
        <v>56</v>
      </c>
      <c r="V97" s="181">
        <f>StorS-StorS/6</f>
        <v>46.666666666666664</v>
      </c>
      <c r="W97" s="181">
        <f>StorS-StorS/6*1.9</f>
        <v>38.266666666666666</v>
      </c>
      <c r="X97" s="169"/>
      <c r="Y97" s="169">
        <v>15</v>
      </c>
      <c r="Z97" s="169"/>
      <c r="AA97" s="169"/>
      <c r="AB97" s="169"/>
      <c r="AC97" s="169"/>
      <c r="AD97" s="169"/>
      <c r="AE97" s="270">
        <v>11.65</v>
      </c>
      <c r="AF97" s="296"/>
      <c r="AG97" s="377"/>
      <c r="AH97" s="296"/>
      <c r="AI97" s="377"/>
      <c r="AJ97" s="296" t="s">
        <v>229</v>
      </c>
      <c r="AK97" s="47">
        <f>VLOOKUP(AJ97,Skrogform!$1:$1048576,3,FALSE)</f>
        <v>0.97</v>
      </c>
      <c r="AL97" s="57">
        <v>12.75</v>
      </c>
      <c r="AM97" s="57">
        <v>11.4</v>
      </c>
      <c r="AN97" s="57">
        <v>4.5999999999999996</v>
      </c>
      <c r="AO97" s="57">
        <v>2.1</v>
      </c>
      <c r="AP97" s="57">
        <v>22</v>
      </c>
      <c r="AQ97" s="57"/>
      <c r="AR97" s="57">
        <v>5</v>
      </c>
      <c r="AS97" s="281">
        <v>120</v>
      </c>
      <c r="AT97" s="282">
        <f>AS97*7</f>
        <v>840</v>
      </c>
      <c r="AU97" s="281">
        <f>ROUND(Depl*10,-2)</f>
        <v>200</v>
      </c>
      <c r="AV97" s="281">
        <f>ROUND(Depl*10,-2)</f>
        <v>200</v>
      </c>
      <c r="AW97" s="270">
        <f>Depl+Diesel/1000+Vann/1000</f>
        <v>22.4</v>
      </c>
      <c r="AX97" s="281"/>
      <c r="AY97" s="98">
        <f>Bredde/(Loa+Lwl)*2</f>
        <v>0.38095238095238093</v>
      </c>
      <c r="AZ97" s="98">
        <f>(Kjøl+Ballast)/Depl</f>
        <v>0.22727272727272727</v>
      </c>
      <c r="BA97" s="288">
        <f>BA$7*((Depl-Kjøl-Ballast-VektMotor/1000-VektAnnet/1000)/Loa/Lwl/Bredde)</f>
        <v>1.0457662021252592</v>
      </c>
      <c r="BB97" s="98">
        <f>BB$7*(Depl/Loa/Lwl/Lwl)</f>
        <v>0.99699034553803068</v>
      </c>
      <c r="BC97" s="178">
        <f>BC$7*(Depl/Loa/Lwl/Bredde)</f>
        <v>0.91329332648391215</v>
      </c>
      <c r="BD97" s="98">
        <f>BD$7*Bredde/(Loa+Lwl)*2</f>
        <v>1.0867383512544802</v>
      </c>
      <c r="BE97" s="98">
        <f>BE$7*(Dypg/Lwl)</f>
        <v>1.0075514874141875</v>
      </c>
      <c r="BF97" s="58" t="s">
        <v>24</v>
      </c>
      <c r="BG97" s="296">
        <v>3</v>
      </c>
      <c r="BH97" s="296">
        <v>66</v>
      </c>
      <c r="BI97" s="47">
        <f t="shared" ref="BI97:BI132" si="853">IF((BF97="Fast"),(1.006248-(0.06415*((BH97/100*SQRT(BG97))/POWER(AP97,(1/3))))),1)</f>
        <v>1</v>
      </c>
      <c r="BJ97" s="61"/>
      <c r="BK97" s="61"/>
      <c r="BM97" s="214"/>
      <c r="BN97" s="214" t="str">
        <f>$A97</f>
        <v>LS Frithjof II</v>
      </c>
      <c r="BO97" s="10"/>
      <c r="BP97" s="10"/>
      <c r="BQ97" s="10"/>
      <c r="BR97" s="10"/>
      <c r="BS97" s="52"/>
      <c r="BT97" s="214" t="str">
        <f>$A97</f>
        <v>LS Frithjof II</v>
      </c>
      <c r="BU97" s="10"/>
      <c r="BV97" s="10"/>
      <c r="BW97" s="10"/>
      <c r="BX97" s="10"/>
      <c r="BY97" s="10"/>
      <c r="BZ97" s="10"/>
      <c r="CA97" s="10"/>
      <c r="CB97" s="10"/>
      <c r="CC97" s="10"/>
      <c r="CD97" s="214"/>
      <c r="CE97" s="10"/>
      <c r="CF97" s="214" t="str">
        <f>$A97</f>
        <v>LS Frithjof II</v>
      </c>
      <c r="CG97" s="212"/>
      <c r="CH97" s="212"/>
      <c r="CI97" s="119"/>
      <c r="CJ97" s="212"/>
      <c r="CK97" s="208"/>
      <c r="CL97" s="208" t="s">
        <v>26</v>
      </c>
      <c r="CM97" s="110" t="str">
        <f t="shared" si="690"/>
        <v>-</v>
      </c>
      <c r="CN97" s="64" t="str">
        <f>IF(SeilBeregnet=0,"-",(SeilBeregnet)^(1/2)*StHfaktor/(Depl+DeplTillegg/1000+Vann/1000+Diesel/1000*0.84)^(1/3))</f>
        <v>-</v>
      </c>
      <c r="CO97" s="64" t="str">
        <f t="shared" si="659"/>
        <v>-</v>
      </c>
      <c r="CP97" s="64" t="str">
        <f t="shared" si="660"/>
        <v>-</v>
      </c>
      <c r="CQ97" s="110" t="str">
        <f t="shared" si="661"/>
        <v>-</v>
      </c>
      <c r="CR97" s="172">
        <f t="shared" si="691"/>
        <v>0.95247058823529429</v>
      </c>
      <c r="CS97" s="162">
        <v>0.92</v>
      </c>
      <c r="CT97" s="172" t="str">
        <f t="shared" si="692"/>
        <v>-</v>
      </c>
      <c r="CU97" s="164">
        <v>1.23</v>
      </c>
      <c r="CV97" s="195" t="s">
        <v>145</v>
      </c>
      <c r="CW97" s="30" t="s">
        <v>26</v>
      </c>
      <c r="CX97" s="30" t="s">
        <v>26</v>
      </c>
      <c r="CY97" s="30" t="s">
        <v>26</v>
      </c>
      <c r="CZ97" s="153">
        <v>2022</v>
      </c>
      <c r="DA97" s="64" t="str">
        <f t="shared" ref="DA97:DA132" si="854">IF(SeilBeregnet=0,"-",((Dypg/(Lwl+DA$6-Bredde*DA$5))^(1/DA$4)*5)*DA$3*DA$7)</f>
        <v>-</v>
      </c>
      <c r="DB97" s="49">
        <f t="shared" ref="DB97:DB132" si="855">(Dypg/(Lwl+Bredde+DB$8)*100)</f>
        <v>12.352941176470589</v>
      </c>
      <c r="DC97" s="50">
        <f t="shared" ref="DC97:DC132" si="856">DB$7*IF(DB97&lt;DB$5,-0.04,IF(DB97&lt;DB$5*1.1,-0.03,IF(DB97&lt;DB$5*1.2,-0.02,IF(DB97&lt;DB$5*1.3,-0.01,0))))</f>
        <v>0</v>
      </c>
      <c r="DE97" s="110" t="str">
        <f>IF(SeilBeregnet=0,"-",DE$7*(DG:DG+DE$6)*DL:DL*PropF+ErfaringsF+Dyp_F)</f>
        <v>-</v>
      </c>
      <c r="DF97" s="144" t="str">
        <f t="shared" ref="DF97:DF102" si="857">IF($DQ97=0,"-",(DE97-$DO97)*100)</f>
        <v>-</v>
      </c>
      <c r="DG97" s="110">
        <f t="shared" ref="DG97:DG132" si="858">SUM(DH97:DK97)^DG$3+DG$7</f>
        <v>4.5839649782155556</v>
      </c>
      <c r="DH97" s="136">
        <f>IF(SeilBeregnet=0,DH22,(SeilBeregnet^0.5/(Depl^0.3333))^DH$3*DH$7)</f>
        <v>2.8373282221278164</v>
      </c>
      <c r="DI97" s="136">
        <f>IF(SeilBeregnet=0,DI22,(SeilBeregnet^0.5/Lwl)^DI$3*DI$7)</f>
        <v>0</v>
      </c>
      <c r="DJ97" s="136">
        <f>IF(SeilBeregnet=0,DJ22,(0.1*Loa/Depl^0.3333)^DJ$3*DJ$7)</f>
        <v>0</v>
      </c>
      <c r="DK97" s="136">
        <f>IF(SeilBeregnet=0,DK22,((Loa)/Bredde)^DK$3*DK$7)</f>
        <v>1.7466367560877394</v>
      </c>
      <c r="DL97" s="110">
        <f>IF(SeilBeregnet=0,DL22,(Lwl)^DL$3)</f>
        <v>1.8859172433475835</v>
      </c>
      <c r="DM97" s="136">
        <f>IF(SeilBeregnet=0,DM22,(Dypg/Loa)^DM$3*5*DM$7)</f>
        <v>2.0811665794102909</v>
      </c>
      <c r="DO97" s="110" t="str">
        <f t="shared" si="344"/>
        <v>-</v>
      </c>
      <c r="DP97" s="110" t="str">
        <f t="shared" ref="DP97:DP132" si="859">IF(SeilBeregnet=0,"-",DP$7*(DP$4*SeilBeregnet^0.5/(Depl^0.33333*Bredde*Lwl)^0.3333*((Loa*0.03+Lwl*0.07)^0.33)*PropF+DP$6)+ErfaringsF+Dyp_F)</f>
        <v>-</v>
      </c>
      <c r="DR97" s="110" t="str">
        <f t="shared" ref="DR97:DR132" si="860">IF(SeilBeregnet=0,"-",DR$7*(DR$4*SeilBeregnet^0.5/(Depl^0.33333*Bredde*Lwl)^0.3333*Lwl^0.3333*((Loa+Lwl)/Bredde/6)^0.25*PropF+DR$6)+ErfaringsF+Dyp_F)</f>
        <v>-</v>
      </c>
      <c r="DS97" s="125" t="str">
        <f t="shared" ref="DS97:DS102" si="861">IF($DQ97=0,"-",DR97-$DO97)</f>
        <v>-</v>
      </c>
      <c r="DT97" s="110" t="str">
        <f t="shared" ref="DT97:DT132" si="862">IF(SeilBeregnet=0,"-",DT$7*(DT$4*DV97*DW97*DX97*PropF+DT$6)+ErfaringsF+Dyp_F)</f>
        <v>-</v>
      </c>
      <c r="DU97" s="125" t="str">
        <f t="shared" ref="DU97:DU102" si="863">IF($DQ97=0,"-",DT97-$DO97)</f>
        <v>-</v>
      </c>
      <c r="DV97" s="110">
        <f>IF(SeilBeregnet=0,DV14,SeilBeregnet^0.5/Depl^0.33333)</f>
        <v>2.6569722014510915</v>
      </c>
      <c r="DW97" s="110">
        <f>IF(SeilBeregnet=0,DW14,Lwl^0.3333)</f>
        <v>2.3255386279619175</v>
      </c>
      <c r="DX97" s="110">
        <f>IF(SeilBeregnet=0,DX14,((Loa+Lwl)/Bredde)^DX$3)</f>
        <v>1.5455073481707255</v>
      </c>
      <c r="DZ97" s="110" t="str">
        <f t="shared" ref="DZ97:DZ132" si="864">IF(SeilBeregnet=0,"-",DZ$7*(DZ$4*EB97*EC97*ED97*PropF+DZ$6)+ErfaringsF+Dyp_F)</f>
        <v>-</v>
      </c>
      <c r="EB97" s="110">
        <f>IF(SeilBeregnet=0,EB14,SeilBeregnet^0.5/Depl^0.33333)</f>
        <v>2.6569722014510915</v>
      </c>
      <c r="EC97" s="110">
        <f>IF(SeilBeregnet=0,EC14,Lwl^EC$3)</f>
        <v>2.3257152901382043</v>
      </c>
      <c r="ED97" s="110">
        <f>IF(SeilBeregnet=0,ED14,((Loa+Lwl)/Bredde)^ED$3)</f>
        <v>1.7867737200389522</v>
      </c>
      <c r="EE97" s="110" t="str">
        <f t="shared" ref="EE97:EE132" si="865">IF(SeilBeregnet=0,"-",EE$7*(EE$4*EG97+EE$6)*EJ97*PropF+ErfaringsF+Dyp_F)</f>
        <v>-</v>
      </c>
      <c r="EG97" s="110">
        <f>IF(SeilBeregnet=0,EG14,(EH97*EI97)^EG$3)</f>
        <v>4.1063700612280112</v>
      </c>
      <c r="EH97" s="110">
        <f>IF(SeilBeregnet=0,EH14,SeilBeregnet^0.5/Depl^0.33333)</f>
        <v>2.6569722014510915</v>
      </c>
      <c r="EI97" s="110">
        <f>IF(SeilBeregnet=0,EI14,((Loa+Lwl)/Bredde)^EI$3)</f>
        <v>1.5455073481707255</v>
      </c>
      <c r="EJ97" s="110">
        <f>IF(SeilBeregnet=0,EJ14,Lwl^EJ$3)</f>
        <v>1.8833028354976902</v>
      </c>
      <c r="EK97" s="110" t="str">
        <f>IF(SeilBeregnet=0,"-",EK$7*(EK$4*EM:EM+EK$6)*EP:EP*PropF+ErfaringsF+Dyp_F)</f>
        <v>-</v>
      </c>
      <c r="EM97" s="110">
        <f>IF(SeilBeregnet=0,EM14,(EN:EN*EO:EO)^EM$3)</f>
        <v>1.6197953062362485</v>
      </c>
      <c r="EN97" s="110">
        <f>IF(SeilBeregnet=0,EN14,SeilBeregnet^0.5/Depl^0.33333)</f>
        <v>2.6569722014510915</v>
      </c>
      <c r="EO97" s="110">
        <f>IF(SeilBeregnet=0,EO14,((Loa+Lwl)/Bredde/6)^EO$3)</f>
        <v>0.98749126267562803</v>
      </c>
      <c r="EP97" s="110">
        <f>IF(SeilBeregnet=0,EP14,(Lwl*0.7+Loa*0.3)^EP$3)</f>
        <v>1.8985001932932792</v>
      </c>
      <c r="EQ97" s="110" t="str">
        <f>IF(SeilBeregnet=0,"-",EQ$7*(ES:ES+EQ$6)*EV:EV*PropF+ErfaringsF+Dyp_F)</f>
        <v>-</v>
      </c>
      <c r="ES97" s="110">
        <f>(ET:ET*EU:EU)^ES$3</f>
        <v>1.6198776208428418</v>
      </c>
      <c r="ET97" s="110">
        <f>IF(SeilBeregnet=0,ET14,SeilBeregnet^0.5/Depl^0.3333)</f>
        <v>2.6572422518429919</v>
      </c>
      <c r="EU97" s="110">
        <f>IF(SeilBeregnet=0,EU14,((Loa+Lwl)/Bredde/6)^EU$3)</f>
        <v>0.98749126267562803</v>
      </c>
      <c r="EV97" s="110">
        <f>IF(SeilBeregnet=0,EV14,(Lwl*0.7+Loa*0.3)^EV$3)</f>
        <v>1.8985001932932792</v>
      </c>
      <c r="EW97" s="110" t="str">
        <f>IF(SeilBeregnet=0,"-",EW$7*(EY:EY+EW$6)*FB:FB*PropF+ErfaringsF+Dyp_F)</f>
        <v>-</v>
      </c>
      <c r="EX97" s="144" t="str">
        <f t="shared" ref="EX97:EX102" si="866">IF($DQ97=0,"-",(EW97-$DO97)*100)</f>
        <v>-</v>
      </c>
      <c r="EY97" s="110">
        <f>(EZ:EZ*FA:FA)^EY$3</f>
        <v>2.5911805359063322</v>
      </c>
      <c r="EZ97" s="136">
        <f>IF(SeilBeregnet=0,EZ14,(SeilBeregnet^0.5/(Depl^0.3333))^EZ$3)</f>
        <v>2.6572422518429919</v>
      </c>
      <c r="FA97" s="136">
        <f>IF(SeilBeregnet=0,FA14,((Loa+Lwl)/Bredde/6)^FA$3)</f>
        <v>0.97513899386070613</v>
      </c>
      <c r="FB97" s="110">
        <f>IF(SeilBeregnet=0,FB14,(Lwl*0.07+Loa*0.03)^FB$3)</f>
        <v>1.0676051145706766</v>
      </c>
      <c r="FC97" s="110" t="str">
        <f>IF(SeilBeregnet=0,"-",FC$7*(FE:FE+FC$6)*FI:FI*PropF+ErfaringsF+Dyp_F)</f>
        <v>-</v>
      </c>
      <c r="FD97" s="144" t="str">
        <f t="shared" ref="FD97:FD102" si="867">IF($DQ97=0,"-",(FC97-$DO97)*100)</f>
        <v>-</v>
      </c>
      <c r="FE97" s="110">
        <f>(FF:FF+FG:FG+FH:FH)^FE$3+FE$7</f>
        <v>4.5426222090448398</v>
      </c>
      <c r="FF97" s="136">
        <f>IF(SeilBeregnet=0,FF14,(SeilBeregnet^0.5/(Depl^0.3333))^FF$3)</f>
        <v>2.6572422518429919</v>
      </c>
      <c r="FG97" s="136">
        <f>IF(SeilBeregnet=0,FG14,(SeilBeregnet^0.5/Lwl*FG$7)^FG$3)</f>
        <v>0.65332914963297106</v>
      </c>
      <c r="FH97" s="136">
        <f>IF(SeilBeregnet=0,FH14,((Loa)/Bredde)^FH$3*FH$7)</f>
        <v>1.7320508075688772</v>
      </c>
      <c r="FI97" s="110">
        <f>IF(SeilBeregnet=0,FI14,(Lwl)^FI$3)</f>
        <v>1.8833028354976902</v>
      </c>
      <c r="FJ97" s="110" t="str">
        <f>IF(SeilBeregnet=0,"-",FJ$7*(FL:FL+FJ$6)*FO:FO*PropF+ErfaringsF+Dyp_F)</f>
        <v>-</v>
      </c>
      <c r="FK97" s="144" t="str">
        <f t="shared" ref="FK97:FK102" si="868">IF($DQ97=0,"-",(FJ97-$DO97)*100)</f>
        <v>-</v>
      </c>
      <c r="FL97" s="110">
        <f>(FM:FM*FN:FN)^FL$3</f>
        <v>4.6024785882107961</v>
      </c>
      <c r="FM97" s="136">
        <f>IF(SeilBeregnet=0,FM14,(SeilBeregnet^0.5/(Depl^0.3333))^FM$3)</f>
        <v>2.6572422518429919</v>
      </c>
      <c r="FN97" s="136">
        <f>IF(SeilBeregnet=0,FN14,(Loa/Bredde)^FN$3)</f>
        <v>1.7320508075688772</v>
      </c>
      <c r="FO97" s="110">
        <f>IF(SeilBeregnet=0,FO14,Lwl^FO$3)</f>
        <v>1.8833028354976902</v>
      </c>
      <c r="FQ97">
        <v>0.95</v>
      </c>
      <c r="FR97" s="64" t="str">
        <f t="shared" si="240"/>
        <v>-</v>
      </c>
      <c r="FS97" s="480" t="s">
        <v>482</v>
      </c>
      <c r="FT97" s="59"/>
      <c r="FU97" s="475"/>
      <c r="FV97" s="77"/>
      <c r="FW97" s="59"/>
      <c r="FX97" s="59"/>
      <c r="FY97" s="59" t="s">
        <v>455</v>
      </c>
      <c r="FZ97" s="59" t="s">
        <v>522</v>
      </c>
      <c r="GB97" s="59" t="s">
        <v>522</v>
      </c>
      <c r="GC97" s="475" t="s">
        <v>522</v>
      </c>
      <c r="GD97" s="60" t="s">
        <v>522</v>
      </c>
      <c r="GE97" s="60" t="s">
        <v>522</v>
      </c>
      <c r="GF97" s="60" t="s">
        <v>522</v>
      </c>
      <c r="GG97" s="60" t="s">
        <v>522</v>
      </c>
      <c r="GI97" s="59"/>
      <c r="GJ97" s="59"/>
      <c r="GK97" s="59"/>
      <c r="GL97" s="59"/>
      <c r="GM97" s="59"/>
      <c r="GN97" s="59"/>
      <c r="GO97" s="59"/>
      <c r="GP97" s="59" t="s">
        <v>766</v>
      </c>
    </row>
    <row r="98" spans="1:198" ht="15.6" x14ac:dyDescent="0.3">
      <c r="A98" s="62" t="s">
        <v>31</v>
      </c>
      <c r="B98" s="223"/>
      <c r="C98" s="63" t="str">
        <f>C97</f>
        <v>Gaffel</v>
      </c>
      <c r="D98" s="63"/>
      <c r="E98" s="63"/>
      <c r="F98" s="63"/>
      <c r="G98" s="56"/>
      <c r="H98" s="209">
        <f>TBFavrundet</f>
        <v>97</v>
      </c>
      <c r="I98" s="65">
        <f>COUNTA(O98:AD98)</f>
        <v>4</v>
      </c>
      <c r="J98" s="228">
        <f>SUM(O98:AD98)</f>
        <v>122.2</v>
      </c>
      <c r="K98" s="119">
        <f>Seilareal/Depl^0.667/K$7</f>
        <v>1.4216040064587596</v>
      </c>
      <c r="L98" s="119">
        <f>Seilareal/Lwl/Lwl/L$7</f>
        <v>1.4267191055467465</v>
      </c>
      <c r="M98" s="95">
        <f>RiggF</f>
        <v>0.78682487725040917</v>
      </c>
      <c r="N98" s="265">
        <f>StHfaktor</f>
        <v>1.0027152827972585</v>
      </c>
      <c r="O98" s="147"/>
      <c r="P98" s="147"/>
      <c r="Q98" s="169">
        <v>26.7</v>
      </c>
      <c r="R98" s="147"/>
      <c r="S98" s="147"/>
      <c r="T98" s="169">
        <v>24.5</v>
      </c>
      <c r="U98" s="169">
        <v>56</v>
      </c>
      <c r="V98" s="148"/>
      <c r="W98" s="148"/>
      <c r="X98" s="148"/>
      <c r="Y98" s="169">
        <v>15</v>
      </c>
      <c r="Z98" s="147"/>
      <c r="AA98" s="147"/>
      <c r="AB98" s="147"/>
      <c r="AC98" s="147"/>
      <c r="AD98" s="147"/>
      <c r="AE98" s="260">
        <f t="shared" ref="AE98:AE102" si="869">AE97</f>
        <v>11.65</v>
      </c>
      <c r="AF98" s="375">
        <f t="shared" ref="AF98:AH98" si="870" xml:space="preserve"> AF97</f>
        <v>0</v>
      </c>
      <c r="AG98" s="377"/>
      <c r="AH98" s="375">
        <f t="shared" si="870"/>
        <v>0</v>
      </c>
      <c r="AI98" s="377"/>
      <c r="AJ98" s="295" t="str">
        <f t="shared" ref="AJ98" si="871" xml:space="preserve"> AJ97</f>
        <v>Los</v>
      </c>
      <c r="AK98" s="47">
        <f>VLOOKUP(AJ98,Skrogform!$1:$1048576,3,FALSE)</f>
        <v>0.97</v>
      </c>
      <c r="AL98" s="66">
        <f t="shared" ref="AL98:AT98" si="872">AL97</f>
        <v>12.75</v>
      </c>
      <c r="AM98" s="66">
        <f t="shared" si="872"/>
        <v>11.4</v>
      </c>
      <c r="AN98" s="66">
        <f t="shared" si="872"/>
        <v>4.5999999999999996</v>
      </c>
      <c r="AO98" s="66">
        <f t="shared" si="872"/>
        <v>2.1</v>
      </c>
      <c r="AP98" s="66">
        <f t="shared" si="872"/>
        <v>22</v>
      </c>
      <c r="AQ98" s="66">
        <f t="shared" si="872"/>
        <v>0</v>
      </c>
      <c r="AR98" s="66">
        <f t="shared" si="872"/>
        <v>5</v>
      </c>
      <c r="AS98" s="284">
        <f t="shared" si="872"/>
        <v>120</v>
      </c>
      <c r="AT98" s="284">
        <f t="shared" si="872"/>
        <v>840</v>
      </c>
      <c r="AU98" s="284">
        <f t="shared" ref="AU98:AV98" si="873">AU97</f>
        <v>200</v>
      </c>
      <c r="AV98" s="284">
        <f t="shared" si="873"/>
        <v>200</v>
      </c>
      <c r="AW98" s="284"/>
      <c r="AX98" s="284">
        <f>AX97</f>
        <v>0</v>
      </c>
      <c r="AY98" s="68"/>
      <c r="AZ98" s="68"/>
      <c r="BA98" s="289"/>
      <c r="BB98" s="68"/>
      <c r="BC98" s="179"/>
      <c r="BD98" s="68"/>
      <c r="BE98" s="68"/>
      <c r="BF98" s="67" t="str">
        <f t="shared" ref="BF98:BH98" si="874" xml:space="preserve"> BF97</f>
        <v>Seilrett</v>
      </c>
      <c r="BG98" s="295">
        <f t="shared" si="874"/>
        <v>3</v>
      </c>
      <c r="BH98" s="295">
        <f t="shared" si="874"/>
        <v>66</v>
      </c>
      <c r="BI98" s="47">
        <f t="shared" si="853"/>
        <v>1</v>
      </c>
      <c r="BJ98" s="61"/>
      <c r="BK98" s="61"/>
      <c r="BM98" s="51">
        <f t="shared" ref="BM98:BR102" si="875">IF(O98=0,0,O98*BM$9)</f>
        <v>0</v>
      </c>
      <c r="BN98" s="51">
        <f t="shared" si="875"/>
        <v>0</v>
      </c>
      <c r="BO98" s="51">
        <f t="shared" si="875"/>
        <v>26.7</v>
      </c>
      <c r="BP98" s="51">
        <f t="shared" si="875"/>
        <v>0</v>
      </c>
      <c r="BQ98" s="51">
        <f t="shared" si="875"/>
        <v>0</v>
      </c>
      <c r="BR98" s="51">
        <f t="shared" si="875"/>
        <v>24.5</v>
      </c>
      <c r="BS98" s="52">
        <f>IF(COUNT(P98:T98)&gt;1,MINA(P98:T98)*BS$9,0)</f>
        <v>-7.35</v>
      </c>
      <c r="BT98" s="88">
        <f t="shared" ref="BT98:CC102" si="876">IF(U98=0,0,U98*BT$9)</f>
        <v>44.800000000000004</v>
      </c>
      <c r="BU98" s="88">
        <f t="shared" si="876"/>
        <v>0</v>
      </c>
      <c r="BV98" s="88">
        <f t="shared" si="876"/>
        <v>0</v>
      </c>
      <c r="BW98" s="88">
        <f t="shared" si="876"/>
        <v>0</v>
      </c>
      <c r="BX98" s="88">
        <f t="shared" si="876"/>
        <v>7.5</v>
      </c>
      <c r="BY98" s="88">
        <f t="shared" si="876"/>
        <v>0</v>
      </c>
      <c r="BZ98" s="88">
        <f t="shared" si="876"/>
        <v>0</v>
      </c>
      <c r="CA98" s="88">
        <f t="shared" si="876"/>
        <v>0</v>
      </c>
      <c r="CB98" s="88">
        <f t="shared" si="876"/>
        <v>0</v>
      </c>
      <c r="CC98" s="88">
        <f t="shared" si="876"/>
        <v>0</v>
      </c>
      <c r="CD98" s="103">
        <f>SUM(BM98:CC98)</f>
        <v>96.15</v>
      </c>
      <c r="CE98" s="52"/>
      <c r="CF98" s="107">
        <f>J98</f>
        <v>122.2</v>
      </c>
      <c r="CG98" s="104">
        <f>CD98/CF98</f>
        <v>0.78682487725040917</v>
      </c>
      <c r="CH98" s="53">
        <f>Seilareal/Lwl/Lwl</f>
        <v>0.94028931979070474</v>
      </c>
      <c r="CI98" s="119">
        <f>Seilareal/Depl^0.667/K$7</f>
        <v>1.4216040064587596</v>
      </c>
      <c r="CJ98" s="53">
        <f>Seilareal/Lwl/Lwl/SApRS1</f>
        <v>1.4267191055467465</v>
      </c>
      <c r="CK98" s="209"/>
      <c r="CL98" s="209">
        <f>(ROUND(TBF/CL$6,3)*CL$6)*CL$4</f>
        <v>97</v>
      </c>
      <c r="CM98" s="110">
        <f t="shared" si="690"/>
        <v>0.96799070955409372</v>
      </c>
      <c r="CN98" s="64">
        <f>IF(SeilBeregnet=0,"-",(SeilBeregnet)^(1/2)*StHfaktor/(Depl+DeplTillegg/1000+Vann/1000+Diesel/1000*0.84)^(1/3))</f>
        <v>3.4792683051109976</v>
      </c>
      <c r="CO98" s="64">
        <f t="shared" si="659"/>
        <v>1.6201851746019651</v>
      </c>
      <c r="CP98" s="64">
        <f t="shared" si="660"/>
        <v>1.8374951981506853</v>
      </c>
      <c r="CQ98" s="110">
        <f t="shared" si="661"/>
        <v>1.0027152827972585</v>
      </c>
      <c r="CR98" s="172">
        <f t="shared" si="691"/>
        <v>0.95247058823529429</v>
      </c>
      <c r="CS98" s="163">
        <f>CS97</f>
        <v>0.92</v>
      </c>
      <c r="CT98" s="172">
        <f t="shared" si="692"/>
        <v>0.94947368421052636</v>
      </c>
      <c r="CU98" s="163">
        <f>CU97</f>
        <v>1.23</v>
      </c>
      <c r="CV98" s="195" t="s">
        <v>145</v>
      </c>
      <c r="CW98" s="64">
        <v>0.93</v>
      </c>
      <c r="CX98" s="64">
        <v>0.9</v>
      </c>
      <c r="CY98" s="64">
        <v>0.94</v>
      </c>
      <c r="CZ98" s="64">
        <v>1</v>
      </c>
      <c r="DA98" s="64">
        <f t="shared" si="854"/>
        <v>2.0710896001352213</v>
      </c>
      <c r="DB98" s="49">
        <f t="shared" si="855"/>
        <v>12.352941176470589</v>
      </c>
      <c r="DC98" s="50">
        <f t="shared" si="856"/>
        <v>0</v>
      </c>
      <c r="DE98" s="110">
        <f>IF(SeilBeregnet=0,"-",DE$7*(DG:DG+DE$6)*DL:DL*PropF+ErfaringsF+Dyp_F)</f>
        <v>0.95849563390364245</v>
      </c>
      <c r="DF98" s="144">
        <f t="shared" si="857"/>
        <v>-3.9432932646969676</v>
      </c>
      <c r="DG98" s="110">
        <f t="shared" si="858"/>
        <v>5.1646697040489045</v>
      </c>
      <c r="DH98" s="136">
        <f>IF(SeilBeregnet=0,DH97,(SeilBeregnet^0.5/(Depl^0.3333))^DH$3*DH$7)</f>
        <v>3.4998156172188355</v>
      </c>
      <c r="DI98" s="136">
        <f>IF(SeilBeregnet=0,DI97,(SeilBeregnet^0.5/Lwl)^DI$3*DI$7)</f>
        <v>0</v>
      </c>
      <c r="DJ98" s="136">
        <f>IF(SeilBeregnet=0,DJ97,(0.1*Loa/Depl^0.3333)^DJ$3*DJ$7)</f>
        <v>0</v>
      </c>
      <c r="DK98" s="136">
        <f>IF(SeilBeregnet=0,DK97,((Loa)/Bredde)^DK$3*DK$7)</f>
        <v>1.664854086830069</v>
      </c>
      <c r="DL98" s="110">
        <f>IF(SeilBeregnet=0,DL97,(Lwl)^DL$3)</f>
        <v>1.8374951981506853</v>
      </c>
      <c r="DM98" s="136">
        <f>IF(SeilBeregnet=0,DM97,(Dypg/Loa)^DM$3*5*DM$7)</f>
        <v>2.0291986247835694</v>
      </c>
      <c r="DO98" s="110">
        <f t="shared" si="344"/>
        <v>0.99792856655061213</v>
      </c>
      <c r="DP98" s="110">
        <f t="shared" si="859"/>
        <v>0.97201239085554814</v>
      </c>
      <c r="DQ98" s="125">
        <f>DP98-DO98</f>
        <v>-2.5916175695063992E-2</v>
      </c>
      <c r="DR98" s="110">
        <f t="shared" si="860"/>
        <v>0.93987632434973567</v>
      </c>
      <c r="DS98" s="125">
        <f t="shared" si="861"/>
        <v>-5.8052242200876458E-2</v>
      </c>
      <c r="DT98" s="110">
        <f t="shared" si="862"/>
        <v>0.97264868993671927</v>
      </c>
      <c r="DU98" s="125">
        <f t="shared" si="863"/>
        <v>-2.527987661389286E-2</v>
      </c>
      <c r="DV98" s="110">
        <f t="shared" si="214"/>
        <v>3.4994910899064307</v>
      </c>
      <c r="DW98" s="110">
        <f t="shared" si="215"/>
        <v>2.2504345510197821</v>
      </c>
      <c r="DX98" s="110">
        <f>IF(SeilBeregnet=0,DX97,((Loa+Lwl)/Bredde)^DX$3)</f>
        <v>1.5137000520175456</v>
      </c>
      <c r="DZ98" s="110">
        <f t="shared" si="864"/>
        <v>0.95859246954534172</v>
      </c>
      <c r="EB98" s="110">
        <f t="shared" si="217"/>
        <v>3.4994910899064307</v>
      </c>
      <c r="EC98" s="110">
        <f>IF(SeilBeregnet=0,EC97,Lwl^EC$3)</f>
        <v>2.250598857644956</v>
      </c>
      <c r="ED98" s="110">
        <f>IF(SeilBeregnet=0,ED97,((Loa+Lwl)/Bredde)^ED$3)</f>
        <v>1.7379172576819111</v>
      </c>
      <c r="EE98" s="110">
        <f t="shared" si="865"/>
        <v>0.96532706724938122</v>
      </c>
      <c r="EG98" s="110">
        <f>IF(SeilBeregnet=0,EG97,(EH98*EI98)^EG$3)</f>
        <v>5.2971798448263012</v>
      </c>
      <c r="EH98" s="110">
        <f t="shared" si="219"/>
        <v>3.4994910899064307</v>
      </c>
      <c r="EI98" s="110">
        <f>IF(SeilBeregnet=0,EI97,((Loa+Lwl)/Bredde)^EI$3)</f>
        <v>1.5137000520175456</v>
      </c>
      <c r="EJ98" s="110">
        <f>IF(SeilBeregnet=0,EJ97,Lwl^EJ$3)</f>
        <v>1.8374951981506853</v>
      </c>
      <c r="EK98" s="110">
        <f>IF(SeilBeregnet=0,"-",EK$7*(EK$4*EM:EM+EK$6)*EP:EP*PropF+ErfaringsF+Dyp_F)</f>
        <v>0.96418261379735459</v>
      </c>
      <c r="EM98" s="110">
        <f>IF(SeilBeregnet=0,EM97,(EN:EN*EO:EO)^EM$3)</f>
        <v>1.8397272987603639</v>
      </c>
      <c r="EN98" s="110">
        <f t="shared" si="220"/>
        <v>3.4994910899064307</v>
      </c>
      <c r="EO98" s="110">
        <f>IF(SeilBeregnet=0,EO97,((Loa+Lwl)/Bredde/6)^EO$3)</f>
        <v>0.96716821013383469</v>
      </c>
      <c r="EP98" s="110">
        <f>IF(SeilBeregnet=0,EP97,(Lwl*0.7+Loa*0.3)^EP$3)</f>
        <v>1.8536020361776409</v>
      </c>
      <c r="EQ98" s="110">
        <f>IF(SeilBeregnet=0,"-",EQ$7*(ES:ES+EQ$6)*EV:EV*PropF+ErfaringsF+Dyp_F)</f>
        <v>0.93318564512281421</v>
      </c>
      <c r="ES98" s="110">
        <f>(ET:ET*EU:EU)^ES$3</f>
        <v>1.8398126008656379</v>
      </c>
      <c r="ET98" s="110">
        <f t="shared" si="221"/>
        <v>3.4998156172188355</v>
      </c>
      <c r="EU98" s="110">
        <f>IF(SeilBeregnet=0,EU97,((Loa+Lwl)/Bredde/6)^EU$3)</f>
        <v>0.96716821013383469</v>
      </c>
      <c r="EV98" s="110">
        <f>IF(SeilBeregnet=0,EV97,(Lwl*0.7+Loa*0.3)^EV$3)</f>
        <v>1.8536020361776409</v>
      </c>
      <c r="EW98" s="110">
        <f>IF(SeilBeregnet=0,"-",EW$7*(EY:EY+EW$6)*FB:FB*PropF+ErfaringsF+Dyp_F)</f>
        <v>0.94001423632884296</v>
      </c>
      <c r="EX98" s="144">
        <f t="shared" si="866"/>
        <v>-5.7914330221769177</v>
      </c>
      <c r="EY98" s="110">
        <f>(EZ:EZ*FA:FA)^EY$3</f>
        <v>3.273777739128414</v>
      </c>
      <c r="EZ98" s="136">
        <f>IF(SeilBeregnet=0,EZ97,(SeilBeregnet^0.5/(Depl^0.3333))^EZ$3)</f>
        <v>3.4998156172188355</v>
      </c>
      <c r="FA98" s="136">
        <f>IF(SeilBeregnet=0,FA97,((Loa+Lwl)/Bredde/6)^FA$3)</f>
        <v>0.93541434669348533</v>
      </c>
      <c r="FB98" s="110">
        <f>IF(SeilBeregnet=0,FB97,(Lwl*0.07+Loa*0.03)^FB$3)</f>
        <v>1.0423570253996639</v>
      </c>
      <c r="FC98" s="110">
        <f>IF(SeilBeregnet=0,"-",FC$7*(FE:FE+FC$6)*FI:FI*PropF+ErfaringsF+Dyp_F)</f>
        <v>0.97457411149684803</v>
      </c>
      <c r="FD98" s="144">
        <f t="shared" si="867"/>
        <v>-2.33544550537641</v>
      </c>
      <c r="FE98" s="110">
        <f>(FF:FF+FG:FG+FH:FH)^FE$3+FE$7</f>
        <v>5.5248109881552967</v>
      </c>
      <c r="FF98" s="136">
        <f>IF(SeilBeregnet=0,FF97,(SeilBeregnet^0.5/(Depl^0.3333))^FF$3)</f>
        <v>3.4998156172188355</v>
      </c>
      <c r="FG98" s="136">
        <f>IF(SeilBeregnet=0,FG97,(SeilBeregnet^0.5/Lwl*FG$7)^FG$3)</f>
        <v>0.86014128410639157</v>
      </c>
      <c r="FH98" s="136">
        <f>IF(SeilBeregnet=0,FH97,((Loa)/Bredde)^FH$3*FH$7)</f>
        <v>1.664854086830069</v>
      </c>
      <c r="FI98" s="110">
        <f>IF(SeilBeregnet=0,FI97,(Lwl)^FI$3)</f>
        <v>1.8374951981506853</v>
      </c>
      <c r="FJ98" s="110">
        <f>IF(SeilBeregnet=0,"-",FJ$7*(FL:FL+FJ$6)*FO:FO*PropF+ErfaringsF+Dyp_F)</f>
        <v>0.93893704327898153</v>
      </c>
      <c r="FK98" s="144">
        <f t="shared" si="868"/>
        <v>-5.8991523271630601</v>
      </c>
      <c r="FL98" s="110">
        <f>(FM:FM*FN:FN)^FL$3</f>
        <v>5.8266823334784785</v>
      </c>
      <c r="FM98" s="136">
        <f>IF(SeilBeregnet=0,FM97,(SeilBeregnet^0.5/(Depl^0.3333))^FM$3)</f>
        <v>3.4998156172188355</v>
      </c>
      <c r="FN98" s="136">
        <f>IF(SeilBeregnet=0,FN97,(Loa/Bredde)^FN$3)</f>
        <v>1.664854086830069</v>
      </c>
      <c r="FO98" s="110">
        <f>IF(SeilBeregnet=0,FO97,Lwl^FO$3)</f>
        <v>1.8374951981506853</v>
      </c>
      <c r="FQ98">
        <v>0.95</v>
      </c>
      <c r="FR98" s="64">
        <f t="shared" si="240"/>
        <v>1.1744780938920787</v>
      </c>
      <c r="FS98" s="479"/>
      <c r="FT98" s="18"/>
      <c r="FU98" s="481"/>
      <c r="FV98" s="504"/>
      <c r="FW98" s="18"/>
      <c r="FX98" s="18"/>
      <c r="FY98" s="18"/>
      <c r="FZ98" s="18"/>
      <c r="GB98" s="18"/>
      <c r="GC98" s="481"/>
      <c r="GD98" s="8"/>
      <c r="GE98" s="8"/>
      <c r="GF98" s="8"/>
      <c r="GG98" s="8"/>
      <c r="GI98" s="18"/>
      <c r="GJ98" s="18"/>
      <c r="GK98" s="18"/>
      <c r="GL98" s="18"/>
      <c r="GM98" s="18"/>
      <c r="GN98" s="18"/>
      <c r="GO98" s="18"/>
      <c r="GP98" s="18"/>
    </row>
    <row r="99" spans="1:198" ht="15.6" x14ac:dyDescent="0.3">
      <c r="A99" s="62" t="s">
        <v>32</v>
      </c>
      <c r="B99" s="223"/>
      <c r="C99" s="14" t="str">
        <f>C97</f>
        <v>Gaffel</v>
      </c>
      <c r="G99" s="56"/>
      <c r="H99" s="209">
        <f>TBFavrundet</f>
        <v>94</v>
      </c>
      <c r="I99" s="65">
        <f>COUNTA(O99:AD99)</f>
        <v>3</v>
      </c>
      <c r="J99" s="228">
        <f>SUM(O99:AD99)</f>
        <v>107.2</v>
      </c>
      <c r="K99" s="119">
        <f>Seilareal/Depl^0.667/K$7</f>
        <v>1.2471026963369807</v>
      </c>
      <c r="L99" s="119">
        <f>Seilareal/Lwl/Lwl/L$7</f>
        <v>1.2515899191048383</v>
      </c>
      <c r="M99" s="95">
        <f>RiggF</f>
        <v>0.82695895522388063</v>
      </c>
      <c r="N99" s="265">
        <f>StHfaktor</f>
        <v>1.0027152827972585</v>
      </c>
      <c r="O99" s="147"/>
      <c r="P99" s="147"/>
      <c r="Q99" s="169">
        <v>26.7</v>
      </c>
      <c r="R99" s="147"/>
      <c r="S99" s="147"/>
      <c r="T99" s="169">
        <v>24.5</v>
      </c>
      <c r="U99" s="169">
        <v>56</v>
      </c>
      <c r="V99" s="148"/>
      <c r="W99" s="148"/>
      <c r="X99" s="148"/>
      <c r="Y99" s="147"/>
      <c r="Z99" s="147"/>
      <c r="AA99" s="147"/>
      <c r="AB99" s="147"/>
      <c r="AC99" s="147"/>
      <c r="AD99" s="147"/>
      <c r="AE99" s="260">
        <f t="shared" si="869"/>
        <v>11.65</v>
      </c>
      <c r="AF99" s="375">
        <f t="shared" ref="AF99:AH99" si="877" xml:space="preserve"> AF98</f>
        <v>0</v>
      </c>
      <c r="AG99" s="377"/>
      <c r="AH99" s="375">
        <f t="shared" si="877"/>
        <v>0</v>
      </c>
      <c r="AI99" s="377"/>
      <c r="AJ99" s="295" t="str">
        <f t="shared" ref="AJ99" si="878" xml:space="preserve"> AJ98</f>
        <v>Los</v>
      </c>
      <c r="AK99" s="47">
        <f>VLOOKUP(AJ99,Skrogform!$1:$1048576,3,FALSE)</f>
        <v>0.97</v>
      </c>
      <c r="AL99" s="66">
        <f t="shared" ref="AL99:AT99" si="879">AL98</f>
        <v>12.75</v>
      </c>
      <c r="AM99" s="66">
        <f t="shared" si="879"/>
        <v>11.4</v>
      </c>
      <c r="AN99" s="66">
        <f t="shared" si="879"/>
        <v>4.5999999999999996</v>
      </c>
      <c r="AO99" s="66">
        <f t="shared" si="879"/>
        <v>2.1</v>
      </c>
      <c r="AP99" s="66">
        <f t="shared" si="879"/>
        <v>22</v>
      </c>
      <c r="AQ99" s="66">
        <f t="shared" si="879"/>
        <v>0</v>
      </c>
      <c r="AR99" s="66">
        <f t="shared" si="879"/>
        <v>5</v>
      </c>
      <c r="AS99" s="284">
        <f t="shared" si="879"/>
        <v>120</v>
      </c>
      <c r="AT99" s="284">
        <f t="shared" si="879"/>
        <v>840</v>
      </c>
      <c r="AU99" s="284">
        <f t="shared" ref="AU99:AV99" si="880">AU98</f>
        <v>200</v>
      </c>
      <c r="AV99" s="284">
        <f t="shared" si="880"/>
        <v>200</v>
      </c>
      <c r="AW99" s="284"/>
      <c r="AX99" s="284">
        <f>AX98</f>
        <v>0</v>
      </c>
      <c r="AY99" s="68"/>
      <c r="AZ99" s="68"/>
      <c r="BA99" s="289"/>
      <c r="BB99" s="68"/>
      <c r="BC99" s="179"/>
      <c r="BD99" s="68"/>
      <c r="BE99" s="68"/>
      <c r="BF99" s="67" t="str">
        <f t="shared" ref="BF99:BH99" si="881" xml:space="preserve"> BF98</f>
        <v>Seilrett</v>
      </c>
      <c r="BG99" s="295">
        <f t="shared" si="881"/>
        <v>3</v>
      </c>
      <c r="BH99" s="295">
        <f t="shared" si="881"/>
        <v>66</v>
      </c>
      <c r="BI99" s="47">
        <f t="shared" si="853"/>
        <v>1</v>
      </c>
      <c r="BJ99" s="61"/>
      <c r="BK99" s="61"/>
      <c r="BM99" s="51">
        <f t="shared" si="875"/>
        <v>0</v>
      </c>
      <c r="BN99" s="51">
        <f t="shared" si="875"/>
        <v>0</v>
      </c>
      <c r="BO99" s="51">
        <f t="shared" si="875"/>
        <v>26.7</v>
      </c>
      <c r="BP99" s="51">
        <f t="shared" si="875"/>
        <v>0</v>
      </c>
      <c r="BQ99" s="51">
        <f t="shared" si="875"/>
        <v>0</v>
      </c>
      <c r="BR99" s="51">
        <f t="shared" si="875"/>
        <v>24.5</v>
      </c>
      <c r="BS99" s="52">
        <f>IF(COUNT(P99:T99)&gt;1,MINA(P99:T99)*BS$9,0)</f>
        <v>-7.35</v>
      </c>
      <c r="BT99" s="88">
        <f t="shared" si="876"/>
        <v>44.800000000000004</v>
      </c>
      <c r="BU99" s="88">
        <f t="shared" si="876"/>
        <v>0</v>
      </c>
      <c r="BV99" s="88">
        <f t="shared" si="876"/>
        <v>0</v>
      </c>
      <c r="BW99" s="88">
        <f t="shared" si="876"/>
        <v>0</v>
      </c>
      <c r="BX99" s="88">
        <f t="shared" si="876"/>
        <v>0</v>
      </c>
      <c r="BY99" s="88">
        <f t="shared" si="876"/>
        <v>0</v>
      </c>
      <c r="BZ99" s="88">
        <f t="shared" si="876"/>
        <v>0</v>
      </c>
      <c r="CA99" s="88">
        <f t="shared" si="876"/>
        <v>0</v>
      </c>
      <c r="CB99" s="88">
        <f t="shared" si="876"/>
        <v>0</v>
      </c>
      <c r="CC99" s="88">
        <f t="shared" si="876"/>
        <v>0</v>
      </c>
      <c r="CD99" s="103">
        <f>SUM(BM99:CC99)</f>
        <v>88.65</v>
      </c>
      <c r="CE99" s="52"/>
      <c r="CF99" s="107">
        <f>J99</f>
        <v>107.2</v>
      </c>
      <c r="CG99" s="104">
        <f>CD99/CF99</f>
        <v>0.82695895522388063</v>
      </c>
      <c r="CH99" s="53">
        <f>Seilareal/Lwl/Lwl</f>
        <v>0.82486919052016006</v>
      </c>
      <c r="CI99" s="119">
        <f>Seilareal/Depl^0.667/K$7</f>
        <v>1.2471026963369807</v>
      </c>
      <c r="CJ99" s="53">
        <f>Seilareal/Lwl/Lwl/SApRS1</f>
        <v>1.2515899191048383</v>
      </c>
      <c r="CK99" s="209"/>
      <c r="CL99" s="209">
        <f>(ROUND(TBF/CL$6,3)*CL$6)*CL$4</f>
        <v>94</v>
      </c>
      <c r="CM99" s="110">
        <f t="shared" si="690"/>
        <v>0.94170948576586355</v>
      </c>
      <c r="CN99" s="64">
        <f>IF(SeilBeregnet=0,"-",(SeilBeregnet)^(1/2)*StHfaktor/(Depl+DeplTillegg/1000+Vann/1000+Diesel/1000*0.84)^(1/3))</f>
        <v>3.3408166890208575</v>
      </c>
      <c r="CO99" s="64">
        <f t="shared" si="659"/>
        <v>1.6201851746019651</v>
      </c>
      <c r="CP99" s="64">
        <f t="shared" si="660"/>
        <v>1.8374951981506853</v>
      </c>
      <c r="CQ99" s="110">
        <f t="shared" si="661"/>
        <v>1.0027152827972585</v>
      </c>
      <c r="CR99" s="172" t="str">
        <f t="shared" si="691"/>
        <v>-</v>
      </c>
      <c r="CS99" s="162"/>
      <c r="CT99" s="172" t="str">
        <f t="shared" si="692"/>
        <v>-</v>
      </c>
      <c r="CU99" s="164"/>
      <c r="CV99" s="195" t="s">
        <v>145</v>
      </c>
      <c r="CW99" s="64">
        <v>0.91</v>
      </c>
      <c r="CX99" s="64">
        <v>0.89</v>
      </c>
      <c r="CY99" s="64">
        <v>0.92</v>
      </c>
      <c r="CZ99" s="154">
        <v>0.98</v>
      </c>
      <c r="DA99" s="64">
        <f t="shared" si="854"/>
        <v>2.0710896001352213</v>
      </c>
      <c r="DB99" s="49">
        <f t="shared" si="855"/>
        <v>12.352941176470589</v>
      </c>
      <c r="DC99" s="50">
        <f t="shared" si="856"/>
        <v>0</v>
      </c>
      <c r="DE99" s="110">
        <f>IF(SeilBeregnet=0,"-",DE$7*(DG:DG+DE$6)*DL:DL*PropF+ErfaringsF+Dyp_F)</f>
        <v>0.93264906733564701</v>
      </c>
      <c r="DF99" s="144" t="str">
        <f t="shared" si="857"/>
        <v>-</v>
      </c>
      <c r="DG99" s="110">
        <f t="shared" si="858"/>
        <v>5.0254004423165872</v>
      </c>
      <c r="DH99" s="136">
        <f>IF(SeilBeregnet=0,DH98,(SeilBeregnet^0.5/(Depl^0.3333))^DH$3*DH$7)</f>
        <v>3.3605463554865183</v>
      </c>
      <c r="DI99" s="136">
        <f>IF(SeilBeregnet=0,DI98,(SeilBeregnet^0.5/Lwl)^DI$3*DI$7)</f>
        <v>0</v>
      </c>
      <c r="DJ99" s="136">
        <f>IF(SeilBeregnet=0,DJ98,(0.1*Loa/Depl^0.3333)^DJ$3*DJ$7)</f>
        <v>0</v>
      </c>
      <c r="DK99" s="136">
        <f>IF(SeilBeregnet=0,DK98,((Loa)/Bredde)^DK$3*DK$7)</f>
        <v>1.664854086830069</v>
      </c>
      <c r="DL99" s="110">
        <f>IF(SeilBeregnet=0,DL98,(Lwl)^DL$3)</f>
        <v>1.8374951981506853</v>
      </c>
      <c r="DM99" s="136">
        <f>IF(SeilBeregnet=0,DM98,(Dypg/Loa)^DM$3*5*DM$7)</f>
        <v>2.0291986247835694</v>
      </c>
      <c r="DO99" s="110">
        <f t="shared" si="344"/>
        <v>0.97083452140810678</v>
      </c>
      <c r="DP99" s="110">
        <f t="shared" si="859"/>
        <v>0.94118448199123494</v>
      </c>
      <c r="DR99" s="110">
        <f t="shared" si="860"/>
        <v>0.91584318524089803</v>
      </c>
      <c r="DS99" s="125" t="str">
        <f t="shared" si="861"/>
        <v>-</v>
      </c>
      <c r="DT99" s="110">
        <f t="shared" si="862"/>
        <v>0.94292116605444354</v>
      </c>
      <c r="DU99" s="125" t="str">
        <f t="shared" si="863"/>
        <v>-</v>
      </c>
      <c r="DV99" s="110">
        <f t="shared" si="214"/>
        <v>3.3602347421913512</v>
      </c>
      <c r="DW99" s="110">
        <f t="shared" si="215"/>
        <v>2.2504345510197821</v>
      </c>
      <c r="DX99" s="110">
        <f>IF(SeilBeregnet=0,DX98,((Loa+Lwl)/Bredde)^DX$3)</f>
        <v>1.5137000520175456</v>
      </c>
      <c r="DZ99" s="110">
        <f t="shared" si="864"/>
        <v>0.93207206738931603</v>
      </c>
      <c r="EB99" s="110">
        <f t="shared" si="217"/>
        <v>3.3602347421913512</v>
      </c>
      <c r="EC99" s="110">
        <f>IF(SeilBeregnet=0,EC98,Lwl^EC$3)</f>
        <v>2.250598857644956</v>
      </c>
      <c r="ED99" s="110">
        <f>IF(SeilBeregnet=0,ED98,((Loa+Lwl)/Bredde)^ED$3)</f>
        <v>1.7379172576819111</v>
      </c>
      <c r="EE99" s="110">
        <f t="shared" si="865"/>
        <v>0.93744183535830417</v>
      </c>
      <c r="EG99" s="110">
        <f>IF(SeilBeregnet=0,EG98,(EH99*EI99)^EG$3)</f>
        <v>5.0863875040462121</v>
      </c>
      <c r="EH99" s="110">
        <f t="shared" si="219"/>
        <v>3.3602347421913512</v>
      </c>
      <c r="EI99" s="110">
        <f>IF(SeilBeregnet=0,EI98,((Loa+Lwl)/Bredde)^EI$3)</f>
        <v>1.5137000520175456</v>
      </c>
      <c r="EJ99" s="110">
        <f>IF(SeilBeregnet=0,EJ98,Lwl^EJ$3)</f>
        <v>1.8374951981506853</v>
      </c>
      <c r="EK99" s="110">
        <f>IF(SeilBeregnet=0,"-",EK$7*(EK$4*EM:EM+EK$6)*EP:EP*PropF+ErfaringsF+Dyp_F)</f>
        <v>0.93757150960863045</v>
      </c>
      <c r="EM99" s="110">
        <f>IF(SeilBeregnet=0,EM98,(EN:EN*EO:EO)^EM$3)</f>
        <v>1.8027512921184488</v>
      </c>
      <c r="EN99" s="110">
        <f t="shared" si="220"/>
        <v>3.3602347421913512</v>
      </c>
      <c r="EO99" s="110">
        <f>IF(SeilBeregnet=0,EO98,((Loa+Lwl)/Bredde/6)^EO$3)</f>
        <v>0.96716821013383469</v>
      </c>
      <c r="EP99" s="110">
        <f>IF(SeilBeregnet=0,EP98,(Lwl*0.7+Loa*0.3)^EP$3)</f>
        <v>1.8536020361776409</v>
      </c>
      <c r="EQ99" s="110">
        <f>IF(SeilBeregnet=0,"-",EQ$7*(ES:ES+EQ$6)*EV:EV*PropF+ErfaringsF+Dyp_F)</f>
        <v>0.9144298878780035</v>
      </c>
      <c r="ES99" s="110">
        <f>(ET:ET*EU:EU)^ES$3</f>
        <v>1.802834879767883</v>
      </c>
      <c r="ET99" s="110">
        <f t="shared" si="221"/>
        <v>3.3605463554865183</v>
      </c>
      <c r="EU99" s="110">
        <f>IF(SeilBeregnet=0,EU98,((Loa+Lwl)/Bredde/6)^EU$3)</f>
        <v>0.96716821013383469</v>
      </c>
      <c r="EV99" s="110">
        <f>IF(SeilBeregnet=0,EV98,(Lwl*0.7+Loa*0.3)^EV$3)</f>
        <v>1.8536020361776409</v>
      </c>
      <c r="EW99" s="110">
        <f>IF(SeilBeregnet=0,"-",EW$7*(EY:EY+EW$6)*FB:FB*PropF+ErfaringsF+Dyp_F)</f>
        <v>0.91679371808995336</v>
      </c>
      <c r="EX99" s="144" t="str">
        <f t="shared" si="866"/>
        <v>-</v>
      </c>
      <c r="EY99" s="110">
        <f>(EZ:EZ*FA:FA)^EY$3</f>
        <v>3.1435032736505946</v>
      </c>
      <c r="EZ99" s="136">
        <f>IF(SeilBeregnet=0,EZ98,(SeilBeregnet^0.5/(Depl^0.3333))^EZ$3)</f>
        <v>3.3605463554865183</v>
      </c>
      <c r="FA99" s="136">
        <f>IF(SeilBeregnet=0,FA98,((Loa+Lwl)/Bredde/6)^FA$3)</f>
        <v>0.93541434669348533</v>
      </c>
      <c r="FB99" s="110">
        <f>IF(SeilBeregnet=0,FB98,(Lwl*0.07+Loa*0.03)^FB$3)</f>
        <v>1.0423570253996639</v>
      </c>
      <c r="FC99" s="110">
        <f>IF(SeilBeregnet=0,"-",FC$7*(FE:FE+FC$6)*FI:FI*PropF+ErfaringsF+Dyp_F)</f>
        <v>0.94396929705182442</v>
      </c>
      <c r="FD99" s="144" t="str">
        <f t="shared" si="867"/>
        <v>-</v>
      </c>
      <c r="FE99" s="110">
        <f>(FF:FF+FG:FG+FH:FH)^FE$3+FE$7</f>
        <v>5.3513138542363361</v>
      </c>
      <c r="FF99" s="136">
        <f>IF(SeilBeregnet=0,FF98,(SeilBeregnet^0.5/(Depl^0.3333))^FF$3)</f>
        <v>3.3605463554865183</v>
      </c>
      <c r="FG99" s="136">
        <f>IF(SeilBeregnet=0,FG98,(SeilBeregnet^0.5/Lwl*FG$7)^FG$3)</f>
        <v>0.82591341191974821</v>
      </c>
      <c r="FH99" s="136">
        <f>IF(SeilBeregnet=0,FH98,((Loa)/Bredde)^FH$3*FH$7)</f>
        <v>1.664854086830069</v>
      </c>
      <c r="FI99" s="110">
        <f>IF(SeilBeregnet=0,FI98,(Lwl)^FI$3)</f>
        <v>1.8374951981506853</v>
      </c>
      <c r="FJ99" s="110">
        <f>IF(SeilBeregnet=0,"-",FJ$7*(FL:FL+FJ$6)*FO:FO*PropF+ErfaringsF+Dyp_F)</f>
        <v>0.91678259156586117</v>
      </c>
      <c r="FK99" s="144" t="str">
        <f t="shared" si="868"/>
        <v>-</v>
      </c>
      <c r="FL99" s="110">
        <f>(FM:FM*FN:FN)^FL$3</f>
        <v>5.5948193339136241</v>
      </c>
      <c r="FM99" s="136">
        <f>IF(SeilBeregnet=0,FM98,(SeilBeregnet^0.5/(Depl^0.3333))^FM$3)</f>
        <v>3.3605463554865183</v>
      </c>
      <c r="FN99" s="136">
        <f>IF(SeilBeregnet=0,FN98,(Loa/Bredde)^FN$3)</f>
        <v>1.664854086830069</v>
      </c>
      <c r="FO99" s="110">
        <f>IF(SeilBeregnet=0,FO98,Lwl^FO$3)</f>
        <v>1.8374951981506853</v>
      </c>
      <c r="FQ99">
        <v>0.95</v>
      </c>
      <c r="FR99" s="64">
        <f t="shared" si="240"/>
        <v>1.1517420587798215</v>
      </c>
      <c r="FS99" s="479"/>
      <c r="FT99" s="18"/>
      <c r="FU99" s="481"/>
      <c r="FV99" s="504"/>
      <c r="FW99" s="18"/>
      <c r="FX99" s="18"/>
      <c r="FY99" s="18"/>
      <c r="FZ99" s="18"/>
      <c r="GB99" s="18"/>
      <c r="GC99" s="481"/>
      <c r="GD99" s="8"/>
      <c r="GE99" s="8"/>
      <c r="GF99" s="8"/>
      <c r="GG99" s="8"/>
      <c r="GI99" s="18"/>
      <c r="GJ99" s="18"/>
      <c r="GK99" s="18"/>
      <c r="GL99" s="18"/>
      <c r="GM99" s="18"/>
      <c r="GN99" s="18"/>
      <c r="GO99" s="18"/>
      <c r="GP99" s="18"/>
    </row>
    <row r="100" spans="1:198" ht="15.6" x14ac:dyDescent="0.3">
      <c r="A100" s="62" t="s">
        <v>119</v>
      </c>
      <c r="B100" s="223"/>
      <c r="C100" s="14" t="str">
        <f>C97</f>
        <v>Gaffel</v>
      </c>
      <c r="G100" s="56"/>
      <c r="H100" s="209">
        <f>TBFavrundet</f>
        <v>90.999999999999986</v>
      </c>
      <c r="I100" s="65">
        <f>COUNTA(O100:AD100)</f>
        <v>3</v>
      </c>
      <c r="J100" s="228">
        <f>SUM(O100:AD100)</f>
        <v>95.7</v>
      </c>
      <c r="K100" s="119">
        <f>Seilareal/Depl^0.667/K$7</f>
        <v>1.1133183585769502</v>
      </c>
      <c r="L100" s="119">
        <f>Seilareal/Lwl/Lwl/L$7</f>
        <v>1.1173242094993754</v>
      </c>
      <c r="M100" s="95">
        <f>RiggF</f>
        <v>0.8353187042842215</v>
      </c>
      <c r="N100" s="265">
        <f>StHfaktor</f>
        <v>1.0027152827972585</v>
      </c>
      <c r="O100" s="147"/>
      <c r="P100" s="147"/>
      <c r="Q100" s="147"/>
      <c r="R100" s="169">
        <v>15.2</v>
      </c>
      <c r="S100" s="147"/>
      <c r="T100" s="169">
        <v>24.5</v>
      </c>
      <c r="U100" s="169">
        <v>56</v>
      </c>
      <c r="V100" s="148"/>
      <c r="W100" s="148"/>
      <c r="X100" s="148"/>
      <c r="Y100" s="147"/>
      <c r="Z100" s="147"/>
      <c r="AA100" s="147"/>
      <c r="AB100" s="147"/>
      <c r="AC100" s="147"/>
      <c r="AD100" s="147"/>
      <c r="AE100" s="260">
        <f t="shared" si="869"/>
        <v>11.65</v>
      </c>
      <c r="AF100" s="375">
        <f t="shared" ref="AF100:AH102" si="882" xml:space="preserve"> AF99</f>
        <v>0</v>
      </c>
      <c r="AG100" s="377"/>
      <c r="AH100" s="375">
        <f t="shared" si="882"/>
        <v>0</v>
      </c>
      <c r="AI100" s="377"/>
      <c r="AJ100" s="295" t="str">
        <f t="shared" ref="AJ100" si="883" xml:space="preserve"> AJ99</f>
        <v>Los</v>
      </c>
      <c r="AK100" s="47">
        <f>VLOOKUP(AJ100,Skrogform!$1:$1048576,3,FALSE)</f>
        <v>0.97</v>
      </c>
      <c r="AL100" s="66">
        <f t="shared" ref="AL100:AT100" si="884">AL99</f>
        <v>12.75</v>
      </c>
      <c r="AM100" s="66">
        <f t="shared" si="884"/>
        <v>11.4</v>
      </c>
      <c r="AN100" s="66">
        <f t="shared" si="884"/>
        <v>4.5999999999999996</v>
      </c>
      <c r="AO100" s="66">
        <f t="shared" si="884"/>
        <v>2.1</v>
      </c>
      <c r="AP100" s="66">
        <f t="shared" si="884"/>
        <v>22</v>
      </c>
      <c r="AQ100" s="66">
        <f t="shared" si="884"/>
        <v>0</v>
      </c>
      <c r="AR100" s="66">
        <f t="shared" si="884"/>
        <v>5</v>
      </c>
      <c r="AS100" s="284">
        <f t="shared" si="884"/>
        <v>120</v>
      </c>
      <c r="AT100" s="284">
        <f t="shared" si="884"/>
        <v>840</v>
      </c>
      <c r="AU100" s="284">
        <f t="shared" ref="AU100:AV100" si="885">AU99</f>
        <v>200</v>
      </c>
      <c r="AV100" s="284">
        <f t="shared" si="885"/>
        <v>200</v>
      </c>
      <c r="AW100" s="284"/>
      <c r="AX100" s="284">
        <f>AX99</f>
        <v>0</v>
      </c>
      <c r="AY100" s="68"/>
      <c r="AZ100" s="68"/>
      <c r="BA100" s="289"/>
      <c r="BB100" s="68"/>
      <c r="BC100" s="179"/>
      <c r="BD100" s="68"/>
      <c r="BE100" s="68"/>
      <c r="BF100" s="67" t="str">
        <f t="shared" ref="BF100:BH100" si="886" xml:space="preserve"> BF99</f>
        <v>Seilrett</v>
      </c>
      <c r="BG100" s="295">
        <f t="shared" si="886"/>
        <v>3</v>
      </c>
      <c r="BH100" s="295">
        <f t="shared" si="886"/>
        <v>66</v>
      </c>
      <c r="BI100" s="47">
        <f t="shared" si="853"/>
        <v>1</v>
      </c>
      <c r="BJ100" s="61"/>
      <c r="BK100" s="61"/>
      <c r="BM100" s="51">
        <f t="shared" si="875"/>
        <v>0</v>
      </c>
      <c r="BN100" s="51">
        <f t="shared" si="875"/>
        <v>0</v>
      </c>
      <c r="BO100" s="51">
        <f t="shared" si="875"/>
        <v>0</v>
      </c>
      <c r="BP100" s="51">
        <f t="shared" si="875"/>
        <v>15.2</v>
      </c>
      <c r="BQ100" s="51">
        <f t="shared" si="875"/>
        <v>0</v>
      </c>
      <c r="BR100" s="51">
        <f t="shared" si="875"/>
        <v>24.5</v>
      </c>
      <c r="BS100" s="52">
        <f>IF(COUNT(P100:T100)&gt;1,MINA(P100:T100)*BS$9,0)</f>
        <v>-4.5599999999999996</v>
      </c>
      <c r="BT100" s="88">
        <f t="shared" si="876"/>
        <v>44.800000000000004</v>
      </c>
      <c r="BU100" s="88">
        <f t="shared" si="876"/>
        <v>0</v>
      </c>
      <c r="BV100" s="88">
        <f t="shared" si="876"/>
        <v>0</v>
      </c>
      <c r="BW100" s="88">
        <f t="shared" si="876"/>
        <v>0</v>
      </c>
      <c r="BX100" s="88">
        <f t="shared" si="876"/>
        <v>0</v>
      </c>
      <c r="BY100" s="88">
        <f t="shared" si="876"/>
        <v>0</v>
      </c>
      <c r="BZ100" s="88">
        <f t="shared" si="876"/>
        <v>0</v>
      </c>
      <c r="CA100" s="88">
        <f t="shared" si="876"/>
        <v>0</v>
      </c>
      <c r="CB100" s="88">
        <f t="shared" si="876"/>
        <v>0</v>
      </c>
      <c r="CC100" s="88">
        <f t="shared" si="876"/>
        <v>0</v>
      </c>
      <c r="CD100" s="103">
        <f>SUM(BM100:CC100)</f>
        <v>79.94</v>
      </c>
      <c r="CE100" s="52"/>
      <c r="CF100" s="107">
        <f>J100</f>
        <v>95.7</v>
      </c>
      <c r="CG100" s="104">
        <f>CD100/CF100</f>
        <v>0.8353187042842215</v>
      </c>
      <c r="CH100" s="53">
        <f>Seilareal/Lwl/Lwl</f>
        <v>0.73638042474607579</v>
      </c>
      <c r="CI100" s="119">
        <f>Seilareal/Depl^0.667/K$7</f>
        <v>1.1133183585769502</v>
      </c>
      <c r="CJ100" s="53">
        <f>Seilareal/Lwl/Lwl/SApRS1</f>
        <v>1.1173242094993754</v>
      </c>
      <c r="CK100" s="209"/>
      <c r="CL100" s="209">
        <f>(ROUND(TBF/CL$6,3)*CL$6)*CL$4</f>
        <v>90.999999999999986</v>
      </c>
      <c r="CM100" s="110">
        <f t="shared" si="690"/>
        <v>0.90975048971683259</v>
      </c>
      <c r="CN100" s="64">
        <f>IF(SeilBeregnet=0,"-",(SeilBeregnet)^(1/2)*StHfaktor/(Depl+DeplTillegg/1000+Vann/1000+Diesel/1000*0.84)^(1/3))</f>
        <v>3.1724541086760141</v>
      </c>
      <c r="CO100" s="64">
        <f t="shared" si="659"/>
        <v>1.6201851746019651</v>
      </c>
      <c r="CP100" s="64">
        <f t="shared" si="660"/>
        <v>1.8374951981506853</v>
      </c>
      <c r="CQ100" s="110">
        <f t="shared" si="661"/>
        <v>1.0027152827972585</v>
      </c>
      <c r="CR100" s="172" t="str">
        <f t="shared" si="691"/>
        <v>-</v>
      </c>
      <c r="CS100" s="162"/>
      <c r="CT100" s="172" t="str">
        <f t="shared" si="692"/>
        <v>-</v>
      </c>
      <c r="CU100" s="164"/>
      <c r="CV100" s="195" t="s">
        <v>145</v>
      </c>
      <c r="CW100" s="64">
        <v>0.88</v>
      </c>
      <c r="CX100" s="64">
        <v>0.87</v>
      </c>
      <c r="CY100" s="64">
        <v>0.89</v>
      </c>
      <c r="CZ100" s="154">
        <v>0.93</v>
      </c>
      <c r="DA100" s="64">
        <f t="shared" si="854"/>
        <v>2.0710896001352213</v>
      </c>
      <c r="DB100" s="49">
        <f t="shared" si="855"/>
        <v>12.352941176470589</v>
      </c>
      <c r="DC100" s="50">
        <f t="shared" si="856"/>
        <v>0</v>
      </c>
      <c r="DE100" s="110">
        <f>IF(SeilBeregnet=0,"-",DE$7*(DG:DG+DE$6)*DL:DL*PropF+ErfaringsF+Dyp_F)</f>
        <v>0.90121863146692194</v>
      </c>
      <c r="DF100" s="144" t="str">
        <f t="shared" si="857"/>
        <v>-</v>
      </c>
      <c r="DG100" s="110">
        <f t="shared" si="858"/>
        <v>4.8560435728907478</v>
      </c>
      <c r="DH100" s="136">
        <f>IF(SeilBeregnet=0,DH98,(SeilBeregnet^0.5/(Depl^0.3333))^DH$3*DH$7)</f>
        <v>3.1911894860606793</v>
      </c>
      <c r="DI100" s="136">
        <f>IF(SeilBeregnet=0,DI98,(SeilBeregnet^0.5/Lwl)^DI$3*DI$7)</f>
        <v>0</v>
      </c>
      <c r="DJ100" s="136">
        <f>IF(SeilBeregnet=0,DJ98,(0.1*Loa/Depl^0.3333)^DJ$3*DJ$7)</f>
        <v>0</v>
      </c>
      <c r="DK100" s="136">
        <f>IF(SeilBeregnet=0,DK98,((Loa)/Bredde)^DK$3*DK$7)</f>
        <v>1.664854086830069</v>
      </c>
      <c r="DL100" s="110">
        <f>IF(SeilBeregnet=0,DL98,(Lwl)^DL$3)</f>
        <v>1.8374951981506853</v>
      </c>
      <c r="DM100" s="136">
        <f>IF(SeilBeregnet=0,DM98,(Dypg/Loa)^DM$3*5*DM$7)</f>
        <v>2.0291986247835694</v>
      </c>
      <c r="DO100" s="110">
        <f t="shared" si="344"/>
        <v>0.93788710280085852</v>
      </c>
      <c r="DP100" s="110">
        <f t="shared" si="859"/>
        <v>0.90369653905778224</v>
      </c>
      <c r="DR100" s="110">
        <f t="shared" si="860"/>
        <v>0.88661794809006467</v>
      </c>
      <c r="DS100" s="125" t="str">
        <f t="shared" si="861"/>
        <v>-</v>
      </c>
      <c r="DT100" s="110">
        <f t="shared" si="862"/>
        <v>0.90677133429787982</v>
      </c>
      <c r="DU100" s="125" t="str">
        <f t="shared" si="863"/>
        <v>-</v>
      </c>
      <c r="DV100" s="110">
        <f>IF(SeilBeregnet=0,DV98,SeilBeregnet^0.5/Depl^0.33333)</f>
        <v>3.1908935767155722</v>
      </c>
      <c r="DW100" s="110">
        <f>IF(SeilBeregnet=0,DW98,Lwl^0.3333)</f>
        <v>2.2504345510197821</v>
      </c>
      <c r="DX100" s="110">
        <f>IF(SeilBeregnet=0,DX98,((Loa+Lwl)/Bredde)^DX$3)</f>
        <v>1.5137000520175456</v>
      </c>
      <c r="DZ100" s="110">
        <f t="shared" si="864"/>
        <v>0.89982222109019872</v>
      </c>
      <c r="EB100" s="110">
        <f>IF(SeilBeregnet=0,EB98,SeilBeregnet^0.5/Depl^0.33333)</f>
        <v>3.1908935767155722</v>
      </c>
      <c r="EC100" s="110">
        <f>IF(SeilBeregnet=0,EC98,Lwl^EC$3)</f>
        <v>2.250598857644956</v>
      </c>
      <c r="ED100" s="110">
        <f>IF(SeilBeregnet=0,ED98,((Loa+Lwl)/Bredde)^ED$3)</f>
        <v>1.7379172576819111</v>
      </c>
      <c r="EE100" s="110">
        <f t="shared" si="865"/>
        <v>0.90353230271955598</v>
      </c>
      <c r="EG100" s="110">
        <f>IF(SeilBeregnet=0,EG98,(EH100*EI100)^EG$3)</f>
        <v>4.8300557730568139</v>
      </c>
      <c r="EH100" s="110">
        <f>IF(SeilBeregnet=0,EH98,SeilBeregnet^0.5/Depl^0.33333)</f>
        <v>3.1908935767155722</v>
      </c>
      <c r="EI100" s="110">
        <f>IF(SeilBeregnet=0,EI98,((Loa+Lwl)/Bredde)^EI$3)</f>
        <v>1.5137000520175456</v>
      </c>
      <c r="EJ100" s="110">
        <f>IF(SeilBeregnet=0,EJ98,Lwl^EJ$3)</f>
        <v>1.8374951981506853</v>
      </c>
      <c r="EK100" s="110">
        <f>IF(SeilBeregnet=0,"-",EK$7*(EK$4*EM:EM+EK$6)*EP:EP*PropF+ErfaringsF+Dyp_F)</f>
        <v>0.90445689753930858</v>
      </c>
      <c r="EM100" s="110">
        <f>IF(SeilBeregnet=0,EM98,(EN:EN*EO:EO)^EM$3)</f>
        <v>1.7567386912456702</v>
      </c>
      <c r="EN100" s="110">
        <f>IF(SeilBeregnet=0,EN98,SeilBeregnet^0.5/Depl^0.33333)</f>
        <v>3.1908935767155722</v>
      </c>
      <c r="EO100" s="110">
        <f>IF(SeilBeregnet=0,EO98,((Loa+Lwl)/Bredde/6)^EO$3)</f>
        <v>0.96716821013383469</v>
      </c>
      <c r="EP100" s="110">
        <f>IF(SeilBeregnet=0,EP98,(Lwl*0.7+Loa*0.3)^EP$3)</f>
        <v>1.8536020361776409</v>
      </c>
      <c r="EQ100" s="110">
        <f>IF(SeilBeregnet=0,"-",EQ$7*(ES:ES+EQ$6)*EV:EV*PropF+ErfaringsF+Dyp_F)</f>
        <v>0.89109039693378855</v>
      </c>
      <c r="ES100" s="110">
        <f>(ET:ET*EU:EU)^ES$3</f>
        <v>1.7568201454421051</v>
      </c>
      <c r="ET100" s="110">
        <f>IF(SeilBeregnet=0,ET98,SeilBeregnet^0.5/Depl^0.3333)</f>
        <v>3.1911894860606793</v>
      </c>
      <c r="EU100" s="110">
        <f>IF(SeilBeregnet=0,EU98,((Loa+Lwl)/Bredde/6)^EU$3)</f>
        <v>0.96716821013383469</v>
      </c>
      <c r="EV100" s="110">
        <f>IF(SeilBeregnet=0,EV98,(Lwl*0.7+Loa*0.3)^EV$3)</f>
        <v>1.8536020361776409</v>
      </c>
      <c r="EW100" s="110">
        <f>IF(SeilBeregnet=0,"-",EW$7*(EY:EY+EW$6)*FB:FB*PropF+ErfaringsF+Dyp_F)</f>
        <v>0.88855665970055453</v>
      </c>
      <c r="EX100" s="144" t="str">
        <f t="shared" si="866"/>
        <v>-</v>
      </c>
      <c r="EY100" s="110">
        <f>(EZ:EZ*FA:FA)^EY$3</f>
        <v>2.9850844282785696</v>
      </c>
      <c r="EZ100" s="136">
        <f>IF(SeilBeregnet=0,EZ98,(SeilBeregnet^0.5/(Depl^0.3333))^EZ$3)</f>
        <v>3.1911894860606793</v>
      </c>
      <c r="FA100" s="136">
        <f>IF(SeilBeregnet=0,FA98,((Loa+Lwl)/Bredde/6)^FA$3)</f>
        <v>0.93541434669348533</v>
      </c>
      <c r="FB100" s="110">
        <f>IF(SeilBeregnet=0,FB98,(Lwl*0.07+Loa*0.03)^FB$3)</f>
        <v>1.0423570253996639</v>
      </c>
      <c r="FC100" s="110">
        <f>IF(SeilBeregnet=0,"-",FC$7*(FE:FE+FC$6)*FI:FI*PropF+ErfaringsF+Dyp_F)</f>
        <v>0.90675264565799307</v>
      </c>
      <c r="FD100" s="144" t="str">
        <f t="shared" si="867"/>
        <v>-</v>
      </c>
      <c r="FE100" s="110">
        <f>(FF:FF+FG:FG+FH:FH)^FE$3+FE$7</f>
        <v>5.1403345534962614</v>
      </c>
      <c r="FF100" s="136">
        <f>IF(SeilBeregnet=0,FF98,(SeilBeregnet^0.5/(Depl^0.3333))^FF$3)</f>
        <v>3.1911894860606793</v>
      </c>
      <c r="FG100" s="136">
        <f>IF(SeilBeregnet=0,FG98,(SeilBeregnet^0.5/Lwl*FG$7)^FG$3)</f>
        <v>0.78429098060551272</v>
      </c>
      <c r="FH100" s="136">
        <f>IF(SeilBeregnet=0,FH98,((Loa)/Bredde)^FH$3*FH$7)</f>
        <v>1.664854086830069</v>
      </c>
      <c r="FI100" s="110">
        <f>IF(SeilBeregnet=0,FI98,(Lwl)^FI$3)</f>
        <v>1.8374951981506853</v>
      </c>
      <c r="FJ100" s="110">
        <f>IF(SeilBeregnet=0,"-",FJ$7*(FL:FL+FJ$6)*FO:FO*PropF+ErfaringsF+Dyp_F)</f>
        <v>0.88984191176825078</v>
      </c>
      <c r="FK100" s="144" t="str">
        <f t="shared" si="868"/>
        <v>-</v>
      </c>
      <c r="FL100" s="110">
        <f>(FM:FM*FN:FN)^FL$3</f>
        <v>5.312864857717269</v>
      </c>
      <c r="FM100" s="136">
        <f>IF(SeilBeregnet=0,FM98,(SeilBeregnet^0.5/(Depl^0.3333))^FM$3)</f>
        <v>3.1911894860606793</v>
      </c>
      <c r="FN100" s="136">
        <f>IF(SeilBeregnet=0,FN98,(Loa/Bredde)^FN$3)</f>
        <v>1.664854086830069</v>
      </c>
      <c r="FO100" s="110">
        <f>IF(SeilBeregnet=0,FO98,Lwl^FO$3)</f>
        <v>1.8374951981506853</v>
      </c>
      <c r="FQ100">
        <v>0.95</v>
      </c>
      <c r="FR100" s="64">
        <f t="shared" si="240"/>
        <v>1.1240941508217204</v>
      </c>
      <c r="FS100" s="479"/>
      <c r="FT100" s="18"/>
      <c r="FU100" s="481"/>
      <c r="FV100" s="504"/>
      <c r="FW100" s="18"/>
      <c r="FX100" s="18"/>
      <c r="FY100" s="18"/>
      <c r="FZ100" s="18"/>
      <c r="GB100" s="18"/>
      <c r="GC100" s="481"/>
      <c r="GD100" s="8"/>
      <c r="GE100" s="8"/>
      <c r="GF100" s="8"/>
      <c r="GG100" s="8"/>
      <c r="GI100" s="18"/>
      <c r="GJ100" s="18"/>
      <c r="GK100" s="18"/>
      <c r="GL100" s="18"/>
      <c r="GM100" s="18"/>
      <c r="GN100" s="18"/>
      <c r="GO100" s="18"/>
      <c r="GP100" s="18"/>
    </row>
    <row r="101" spans="1:198" ht="15.6" x14ac:dyDescent="0.3">
      <c r="A101" s="62" t="s">
        <v>124</v>
      </c>
      <c r="B101" s="223"/>
      <c r="C101" s="14" t="str">
        <f>C98</f>
        <v>Gaffel</v>
      </c>
      <c r="G101" s="56"/>
      <c r="H101" s="209">
        <f>TBFavrundet</f>
        <v>86.999999999999986</v>
      </c>
      <c r="I101" s="65">
        <f>COUNTA(O101:AD101)</f>
        <v>3</v>
      </c>
      <c r="J101" s="228">
        <f>SUM(O101:AD101)</f>
        <v>86.4</v>
      </c>
      <c r="K101" s="119">
        <f>Seilareal/Depl^0.667/K$7</f>
        <v>1.0051275463014471</v>
      </c>
      <c r="L101" s="119">
        <f>Seilareal/Lwl/Lwl/L$7</f>
        <v>1.0087441139053921</v>
      </c>
      <c r="M101" s="95">
        <f>RiggF</f>
        <v>0.81209490740740742</v>
      </c>
      <c r="N101" s="265">
        <f>StHfaktor</f>
        <v>1.0027152827972585</v>
      </c>
      <c r="O101" s="147"/>
      <c r="P101" s="147"/>
      <c r="Q101" s="147"/>
      <c r="R101" s="169">
        <v>15.2</v>
      </c>
      <c r="S101" s="147"/>
      <c r="T101" s="169">
        <v>24.5</v>
      </c>
      <c r="U101" s="148"/>
      <c r="V101" s="184">
        <v>46.7</v>
      </c>
      <c r="W101" s="148"/>
      <c r="X101" s="148"/>
      <c r="Y101" s="147"/>
      <c r="Z101" s="147"/>
      <c r="AA101" s="147"/>
      <c r="AB101" s="147"/>
      <c r="AC101" s="147"/>
      <c r="AD101" s="147"/>
      <c r="AE101" s="260">
        <f t="shared" si="869"/>
        <v>11.65</v>
      </c>
      <c r="AF101" s="375">
        <f t="shared" si="882"/>
        <v>0</v>
      </c>
      <c r="AG101" s="377"/>
      <c r="AH101" s="375">
        <f t="shared" si="882"/>
        <v>0</v>
      </c>
      <c r="AI101" s="377"/>
      <c r="AJ101" s="295" t="str">
        <f t="shared" ref="AJ101" si="887" xml:space="preserve"> AJ100</f>
        <v>Los</v>
      </c>
      <c r="AK101" s="47">
        <f>VLOOKUP(AJ101,Skrogform!$1:$1048576,3,FALSE)</f>
        <v>0.97</v>
      </c>
      <c r="AL101" s="66">
        <f t="shared" ref="AL101:AT101" si="888">AL100</f>
        <v>12.75</v>
      </c>
      <c r="AM101" s="66">
        <f t="shared" si="888"/>
        <v>11.4</v>
      </c>
      <c r="AN101" s="66">
        <f t="shared" si="888"/>
        <v>4.5999999999999996</v>
      </c>
      <c r="AO101" s="66">
        <f t="shared" si="888"/>
        <v>2.1</v>
      </c>
      <c r="AP101" s="66">
        <f t="shared" si="888"/>
        <v>22</v>
      </c>
      <c r="AQ101" s="66">
        <f t="shared" si="888"/>
        <v>0</v>
      </c>
      <c r="AR101" s="66">
        <f t="shared" si="888"/>
        <v>5</v>
      </c>
      <c r="AS101" s="284">
        <f t="shared" si="888"/>
        <v>120</v>
      </c>
      <c r="AT101" s="284">
        <f t="shared" si="888"/>
        <v>840</v>
      </c>
      <c r="AU101" s="284">
        <f t="shared" ref="AU101:AV101" si="889">AU100</f>
        <v>200</v>
      </c>
      <c r="AV101" s="284">
        <f t="shared" si="889"/>
        <v>200</v>
      </c>
      <c r="AW101" s="284"/>
      <c r="AX101" s="284">
        <f>AX100</f>
        <v>0</v>
      </c>
      <c r="AY101" s="68"/>
      <c r="AZ101" s="68"/>
      <c r="BA101" s="289"/>
      <c r="BB101" s="68"/>
      <c r="BC101" s="179"/>
      <c r="BD101" s="68"/>
      <c r="BE101" s="68"/>
      <c r="BF101" s="67" t="str">
        <f t="shared" ref="BF101:BH101" si="890" xml:space="preserve"> BF100</f>
        <v>Seilrett</v>
      </c>
      <c r="BG101" s="295">
        <f t="shared" si="890"/>
        <v>3</v>
      </c>
      <c r="BH101" s="295">
        <f t="shared" si="890"/>
        <v>66</v>
      </c>
      <c r="BI101" s="47">
        <f t="shared" si="853"/>
        <v>1</v>
      </c>
      <c r="BJ101" s="61"/>
      <c r="BK101" s="61"/>
      <c r="BM101" s="51">
        <f t="shared" si="875"/>
        <v>0</v>
      </c>
      <c r="BN101" s="51">
        <f t="shared" si="875"/>
        <v>0</v>
      </c>
      <c r="BO101" s="51">
        <f t="shared" si="875"/>
        <v>0</v>
      </c>
      <c r="BP101" s="51">
        <f t="shared" si="875"/>
        <v>15.2</v>
      </c>
      <c r="BQ101" s="51">
        <f t="shared" si="875"/>
        <v>0</v>
      </c>
      <c r="BR101" s="51">
        <f t="shared" si="875"/>
        <v>24.5</v>
      </c>
      <c r="BS101" s="52">
        <f>IF(COUNT(P101:T101)&gt;1,MINA(P101:T101)*BS$9,0)</f>
        <v>-4.5599999999999996</v>
      </c>
      <c r="BT101" s="88">
        <f t="shared" si="876"/>
        <v>0</v>
      </c>
      <c r="BU101" s="88">
        <f t="shared" si="876"/>
        <v>35.025000000000006</v>
      </c>
      <c r="BV101" s="88">
        <f t="shared" si="876"/>
        <v>0</v>
      </c>
      <c r="BW101" s="88">
        <f t="shared" si="876"/>
        <v>0</v>
      </c>
      <c r="BX101" s="88">
        <f t="shared" si="876"/>
        <v>0</v>
      </c>
      <c r="BY101" s="88">
        <f t="shared" si="876"/>
        <v>0</v>
      </c>
      <c r="BZ101" s="88">
        <f t="shared" si="876"/>
        <v>0</v>
      </c>
      <c r="CA101" s="88">
        <f t="shared" si="876"/>
        <v>0</v>
      </c>
      <c r="CB101" s="88">
        <f t="shared" si="876"/>
        <v>0</v>
      </c>
      <c r="CC101" s="88">
        <f t="shared" si="876"/>
        <v>0</v>
      </c>
      <c r="CD101" s="103">
        <f>SUM(BM101:CC101)</f>
        <v>70.165000000000006</v>
      </c>
      <c r="CE101" s="52"/>
      <c r="CF101" s="107">
        <f>J101</f>
        <v>86.4</v>
      </c>
      <c r="CG101" s="104">
        <f>CD101/CF101</f>
        <v>0.81209490740740742</v>
      </c>
      <c r="CH101" s="53">
        <f>Seilareal/Lwl/Lwl</f>
        <v>0.66481994459833793</v>
      </c>
      <c r="CI101" s="119">
        <f>Seilareal/Depl^0.667/K$7</f>
        <v>1.0051275463014471</v>
      </c>
      <c r="CJ101" s="53">
        <f>Seilareal/Lwl/Lwl/SApRS1</f>
        <v>1.0087441139053921</v>
      </c>
      <c r="CK101" s="209"/>
      <c r="CL101" s="209">
        <f>(ROUND(TBF/CL$6,3)*CL$6)*CL$4</f>
        <v>86.999999999999986</v>
      </c>
      <c r="CM101" s="110">
        <f t="shared" si="690"/>
        <v>0.8717319348920648</v>
      </c>
      <c r="CN101" s="64">
        <f>IF(SeilBeregnet=0,"-",(SeilBeregnet)^(1/2)*StHfaktor/(Depl+DeplTillegg/1000+Vann/1000+Diesel/1000*0.84)^(1/3))</f>
        <v>2.9721692817853413</v>
      </c>
      <c r="CO101" s="64">
        <f t="shared" si="659"/>
        <v>1.6201851746019651</v>
      </c>
      <c r="CP101" s="64">
        <f t="shared" si="660"/>
        <v>1.8374951981506853</v>
      </c>
      <c r="CQ101" s="110">
        <f t="shared" si="661"/>
        <v>1.0027152827972585</v>
      </c>
      <c r="CR101" s="172" t="str">
        <f t="shared" si="691"/>
        <v>-</v>
      </c>
      <c r="CS101" s="162"/>
      <c r="CT101" s="172" t="str">
        <f t="shared" si="692"/>
        <v>-</v>
      </c>
      <c r="CU101" s="164"/>
      <c r="CV101" s="195" t="s">
        <v>145</v>
      </c>
      <c r="CW101" s="64">
        <v>0.88</v>
      </c>
      <c r="CX101" s="64">
        <v>0.87</v>
      </c>
      <c r="CY101" s="64">
        <v>0.89</v>
      </c>
      <c r="CZ101" s="154">
        <v>0.93</v>
      </c>
      <c r="DA101" s="64">
        <f t="shared" si="854"/>
        <v>2.0710896001352213</v>
      </c>
      <c r="DB101" s="49">
        <f t="shared" si="855"/>
        <v>12.352941176470589</v>
      </c>
      <c r="DC101" s="50">
        <f t="shared" si="856"/>
        <v>0</v>
      </c>
      <c r="DE101" s="110">
        <f>IF(SeilBeregnet=0,"-",DE$7*(DG:DG+DE$6)*DL:DL*PropF+ErfaringsF+Dyp_F)</f>
        <v>0.86382885403435727</v>
      </c>
      <c r="DF101" s="144" t="str">
        <f t="shared" si="857"/>
        <v>-</v>
      </c>
      <c r="DG101" s="110">
        <f t="shared" si="858"/>
        <v>4.6545759355676228</v>
      </c>
      <c r="DH101" s="136">
        <f>IF(SeilBeregnet=0,DH99,(SeilBeregnet^0.5/(Depl^0.3333))^DH$3*DH$7)</f>
        <v>2.9897218487375534</v>
      </c>
      <c r="DI101" s="136">
        <f>IF(SeilBeregnet=0,DI99,(SeilBeregnet^0.5/Lwl)^DI$3*DI$7)</f>
        <v>0</v>
      </c>
      <c r="DJ101" s="136">
        <f>IF(SeilBeregnet=0,DJ99,(0.1*Loa/Depl^0.3333)^DJ$3*DJ$7)</f>
        <v>0</v>
      </c>
      <c r="DK101" s="136">
        <f>IF(SeilBeregnet=0,DK99,((Loa)/Bredde)^DK$3*DK$7)</f>
        <v>1.664854086830069</v>
      </c>
      <c r="DL101" s="110">
        <f>IF(SeilBeregnet=0,DL99,(Lwl)^DL$3)</f>
        <v>1.8374951981506853</v>
      </c>
      <c r="DM101" s="136">
        <f>IF(SeilBeregnet=0,DM99,(Dypg/Loa)^DM$3*5*DM$7)</f>
        <v>2.0291986247835694</v>
      </c>
      <c r="DO101" s="110">
        <f t="shared" si="344"/>
        <v>0.89869271638357184</v>
      </c>
      <c r="DP101" s="110">
        <f t="shared" si="859"/>
        <v>0.85910072598853982</v>
      </c>
      <c r="DR101" s="110">
        <f t="shared" si="860"/>
        <v>0.85185148423803447</v>
      </c>
      <c r="DS101" s="125" t="str">
        <f t="shared" si="861"/>
        <v>-</v>
      </c>
      <c r="DT101" s="110">
        <f t="shared" si="862"/>
        <v>0.86376734385855147</v>
      </c>
      <c r="DU101" s="125" t="str">
        <f t="shared" si="863"/>
        <v>-</v>
      </c>
      <c r="DV101" s="110">
        <f>IF(SeilBeregnet=0,DV99,SeilBeregnet^0.5/Depl^0.33333)</f>
        <v>2.9894446208768524</v>
      </c>
      <c r="DW101" s="110">
        <f>IF(SeilBeregnet=0,DW99,Lwl^0.3333)</f>
        <v>2.2504345510197821</v>
      </c>
      <c r="DX101" s="110">
        <f>IF(SeilBeregnet=0,DX99,((Loa+Lwl)/Bredde)^DX$3)</f>
        <v>1.5137000520175456</v>
      </c>
      <c r="DZ101" s="110">
        <f t="shared" si="864"/>
        <v>0.86145766959639403</v>
      </c>
      <c r="EB101" s="110">
        <f>IF(SeilBeregnet=0,EB99,SeilBeregnet^0.5/Depl^0.33333)</f>
        <v>2.9894446208768524</v>
      </c>
      <c r="EC101" s="110">
        <f>IF(SeilBeregnet=0,EC99,Lwl^EC$3)</f>
        <v>2.250598857644956</v>
      </c>
      <c r="ED101" s="110">
        <f>IF(SeilBeregnet=0,ED99,((Loa+Lwl)/Bredde)^ED$3)</f>
        <v>1.7379172576819111</v>
      </c>
      <c r="EE101" s="110">
        <f t="shared" si="865"/>
        <v>0.86319338144272173</v>
      </c>
      <c r="EG101" s="110">
        <f>IF(SeilBeregnet=0,EG99,(EH101*EI101)^EG$3)</f>
        <v>4.5251224781248638</v>
      </c>
      <c r="EH101" s="110">
        <f>IF(SeilBeregnet=0,EH99,SeilBeregnet^0.5/Depl^0.33333)</f>
        <v>2.9894446208768524</v>
      </c>
      <c r="EI101" s="110">
        <f>IF(SeilBeregnet=0,EI99,((Loa+Lwl)/Bredde)^EI$3)</f>
        <v>1.5137000520175456</v>
      </c>
      <c r="EJ101" s="110">
        <f>IF(SeilBeregnet=0,EJ99,Lwl^EJ$3)</f>
        <v>1.8374951981506853</v>
      </c>
      <c r="EK101" s="110">
        <f>IF(SeilBeregnet=0,"-",EK$7*(EK$4*EM:EM+EK$6)*EP:EP*PropF+ErfaringsF+Dyp_F)</f>
        <v>0.86389712621508707</v>
      </c>
      <c r="EM101" s="110">
        <f>IF(SeilBeregnet=0,EM99,(EN:EN*EO:EO)^EM$3)</f>
        <v>1.7003810758967195</v>
      </c>
      <c r="EN101" s="110">
        <f>IF(SeilBeregnet=0,EN99,SeilBeregnet^0.5/Depl^0.33333)</f>
        <v>2.9894446208768524</v>
      </c>
      <c r="EO101" s="110">
        <f>IF(SeilBeregnet=0,EO99,((Loa+Lwl)/Bredde/6)^EO$3)</f>
        <v>0.96716821013383469</v>
      </c>
      <c r="EP101" s="110">
        <f>IF(SeilBeregnet=0,EP99,(Lwl*0.7+Loa*0.3)^EP$3)</f>
        <v>1.8536020361776409</v>
      </c>
      <c r="EQ101" s="110">
        <f>IF(SeilBeregnet=0,"-",EQ$7*(ES:ES+EQ$6)*EV:EV*PropF+ErfaringsF+Dyp_F)</f>
        <v>0.86250348751931649</v>
      </c>
      <c r="ES101" s="110">
        <f>(ET:ET*EU:EU)^ES$3</f>
        <v>1.7004599169758512</v>
      </c>
      <c r="ET101" s="110">
        <f>IF(SeilBeregnet=0,ET99,SeilBeregnet^0.5/Depl^0.3333)</f>
        <v>2.9897218487375534</v>
      </c>
      <c r="EU101" s="110">
        <f>IF(SeilBeregnet=0,EU99,((Loa+Lwl)/Bredde/6)^EU$3)</f>
        <v>0.96716821013383469</v>
      </c>
      <c r="EV101" s="110">
        <f>IF(SeilBeregnet=0,EV99,(Lwl*0.7+Loa*0.3)^EV$3)</f>
        <v>1.8536020361776409</v>
      </c>
      <c r="EW101" s="110">
        <f>IF(SeilBeregnet=0,"-",EW$7*(EY:EY+EW$6)*FB:FB*PropF+ErfaringsF+Dyp_F)</f>
        <v>0.85496573741937432</v>
      </c>
      <c r="EX101" s="144" t="str">
        <f t="shared" si="866"/>
        <v>-</v>
      </c>
      <c r="EY101" s="110">
        <f>(EZ:EZ*FA:FA)^EY$3</f>
        <v>2.7966287099320777</v>
      </c>
      <c r="EZ101" s="136">
        <f>IF(SeilBeregnet=0,EZ99,(SeilBeregnet^0.5/(Depl^0.3333))^EZ$3)</f>
        <v>2.9897218487375534</v>
      </c>
      <c r="FA101" s="136">
        <f>IF(SeilBeregnet=0,FA99,((Loa+Lwl)/Bredde/6)^FA$3)</f>
        <v>0.93541434669348533</v>
      </c>
      <c r="FB101" s="110">
        <f>IF(SeilBeregnet=0,FB99,(Lwl*0.07+Loa*0.03)^FB$3)</f>
        <v>1.0423570253996639</v>
      </c>
      <c r="FC101" s="110">
        <f>IF(SeilBeregnet=0,"-",FC$7*(FE:FE+FC$6)*FI:FI*PropF+ErfaringsF+Dyp_F)</f>
        <v>0.86247956213434551</v>
      </c>
      <c r="FD101" s="144" t="str">
        <f t="shared" si="867"/>
        <v>-</v>
      </c>
      <c r="FE101" s="110">
        <f>(FF:FF+FG:FG+FH:FH)^FE$3+FE$7</f>
        <v>4.8893526985039477</v>
      </c>
      <c r="FF101" s="136">
        <f>IF(SeilBeregnet=0,FF99,(SeilBeregnet^0.5/(Depl^0.3333))^FF$3)</f>
        <v>2.9897218487375534</v>
      </c>
      <c r="FG101" s="136">
        <f>IF(SeilBeregnet=0,FG99,(SeilBeregnet^0.5/Lwl*FG$7)^FG$3)</f>
        <v>0.73477676293632543</v>
      </c>
      <c r="FH101" s="136">
        <f>IF(SeilBeregnet=0,FH99,((Loa)/Bredde)^FH$3*FH$7)</f>
        <v>1.664854086830069</v>
      </c>
      <c r="FI101" s="110">
        <f>IF(SeilBeregnet=0,FI99,(Lwl)^FI$3)</f>
        <v>1.8374951981506853</v>
      </c>
      <c r="FJ101" s="110">
        <f>IF(SeilBeregnet=0,"-",FJ$7*(FL:FL+FJ$6)*FO:FO*PropF+ErfaringsF+Dyp_F)</f>
        <v>0.85779316685991269</v>
      </c>
      <c r="FK101" s="144" t="str">
        <f t="shared" si="868"/>
        <v>-</v>
      </c>
      <c r="FL101" s="110">
        <f>(FM:FM*FN:FN)^FL$3</f>
        <v>4.9774506383558652</v>
      </c>
      <c r="FM101" s="136">
        <f>IF(SeilBeregnet=0,FM99,(SeilBeregnet^0.5/(Depl^0.3333))^FM$3)</f>
        <v>2.9897218487375534</v>
      </c>
      <c r="FN101" s="136">
        <f>IF(SeilBeregnet=0,FN99,(Loa/Bredde)^FN$3)</f>
        <v>1.664854086830069</v>
      </c>
      <c r="FO101" s="110">
        <f>IF(SeilBeregnet=0,FO99,Lwl^FO$3)</f>
        <v>1.8374951981506853</v>
      </c>
      <c r="FQ101">
        <v>0.95</v>
      </c>
      <c r="FR101" s="64">
        <f t="shared" si="240"/>
        <v>1.0912040843477111</v>
      </c>
      <c r="FS101" s="479"/>
      <c r="FT101" s="18"/>
      <c r="FU101" s="481"/>
      <c r="FV101" s="504"/>
      <c r="FW101" s="18"/>
      <c r="FX101" s="18"/>
      <c r="FY101" s="18"/>
      <c r="FZ101" s="18"/>
      <c r="GB101" s="18"/>
      <c r="GC101" s="481"/>
      <c r="GD101" s="8"/>
      <c r="GE101" s="8"/>
      <c r="GF101" s="8"/>
      <c r="GG101" s="8"/>
      <c r="GI101" s="18"/>
      <c r="GJ101" s="18"/>
      <c r="GK101" s="18"/>
      <c r="GL101" s="18"/>
      <c r="GM101" s="18"/>
      <c r="GN101" s="18"/>
      <c r="GO101" s="18"/>
      <c r="GP101" s="18"/>
    </row>
    <row r="102" spans="1:198" ht="15.6" x14ac:dyDescent="0.3">
      <c r="A102" s="62" t="s">
        <v>38</v>
      </c>
      <c r="B102" s="223"/>
      <c r="C102" s="14" t="str">
        <f>C99</f>
        <v>Gaffel</v>
      </c>
      <c r="G102" s="56"/>
      <c r="H102" s="209">
        <f>TBFavrundet</f>
        <v>82.5</v>
      </c>
      <c r="I102" s="65">
        <f>COUNTA(O102:AD102)</f>
        <v>2</v>
      </c>
      <c r="J102" s="228">
        <f>SUM(O102:AD102)</f>
        <v>71.2</v>
      </c>
      <c r="K102" s="119">
        <f>Seilareal/Depl^0.667/K$7</f>
        <v>0.82829955204471095</v>
      </c>
      <c r="L102" s="119">
        <f>Seilareal/Lwl/Lwl/L$7</f>
        <v>0.83127987164425832</v>
      </c>
      <c r="M102" s="95">
        <f>RiggF</f>
        <v>0.8360252808988764</v>
      </c>
      <c r="N102" s="265">
        <f>StHfaktor</f>
        <v>1.0027152827972585</v>
      </c>
      <c r="O102" s="147"/>
      <c r="P102" s="147"/>
      <c r="Q102" s="147"/>
      <c r="R102" s="147"/>
      <c r="S102" s="147"/>
      <c r="T102" s="169">
        <v>24.5</v>
      </c>
      <c r="U102" s="148"/>
      <c r="V102" s="184">
        <v>46.7</v>
      </c>
      <c r="W102" s="148"/>
      <c r="X102" s="148"/>
      <c r="Y102" s="147"/>
      <c r="Z102" s="147"/>
      <c r="AA102" s="147"/>
      <c r="AB102" s="147"/>
      <c r="AC102" s="147"/>
      <c r="AD102" s="147"/>
      <c r="AE102" s="260">
        <f t="shared" si="869"/>
        <v>11.65</v>
      </c>
      <c r="AF102" s="375">
        <f t="shared" si="882"/>
        <v>0</v>
      </c>
      <c r="AG102" s="377"/>
      <c r="AH102" s="375">
        <f t="shared" si="882"/>
        <v>0</v>
      </c>
      <c r="AI102" s="377"/>
      <c r="AJ102" s="295" t="str">
        <f t="shared" ref="AJ102" si="891" xml:space="preserve"> AJ101</f>
        <v>Los</v>
      </c>
      <c r="AK102" s="47">
        <f>VLOOKUP(AJ102,Skrogform!$1:$1048576,3,FALSE)</f>
        <v>0.97</v>
      </c>
      <c r="AL102" s="66">
        <f t="shared" ref="AL102:AT102" si="892">AL101</f>
        <v>12.75</v>
      </c>
      <c r="AM102" s="66">
        <f t="shared" si="892"/>
        <v>11.4</v>
      </c>
      <c r="AN102" s="66">
        <f t="shared" si="892"/>
        <v>4.5999999999999996</v>
      </c>
      <c r="AO102" s="66">
        <f t="shared" si="892"/>
        <v>2.1</v>
      </c>
      <c r="AP102" s="66">
        <f t="shared" si="892"/>
        <v>22</v>
      </c>
      <c r="AQ102" s="66">
        <f t="shared" si="892"/>
        <v>0</v>
      </c>
      <c r="AR102" s="66">
        <f t="shared" si="892"/>
        <v>5</v>
      </c>
      <c r="AS102" s="284">
        <f t="shared" si="892"/>
        <v>120</v>
      </c>
      <c r="AT102" s="284">
        <f t="shared" si="892"/>
        <v>840</v>
      </c>
      <c r="AU102" s="284">
        <f t="shared" ref="AU102:AV102" si="893">AU101</f>
        <v>200</v>
      </c>
      <c r="AV102" s="284">
        <f t="shared" si="893"/>
        <v>200</v>
      </c>
      <c r="AW102" s="284"/>
      <c r="AX102" s="284">
        <f>AX101</f>
        <v>0</v>
      </c>
      <c r="AY102" s="68"/>
      <c r="AZ102" s="68"/>
      <c r="BA102" s="289"/>
      <c r="BB102" s="68"/>
      <c r="BC102" s="179"/>
      <c r="BD102" s="68"/>
      <c r="BE102" s="68"/>
      <c r="BF102" s="67" t="str">
        <f t="shared" ref="BF102:BH102" si="894" xml:space="preserve"> BF101</f>
        <v>Seilrett</v>
      </c>
      <c r="BG102" s="295">
        <f t="shared" si="894"/>
        <v>3</v>
      </c>
      <c r="BH102" s="295">
        <f t="shared" si="894"/>
        <v>66</v>
      </c>
      <c r="BI102" s="47">
        <f t="shared" si="853"/>
        <v>1</v>
      </c>
      <c r="BJ102" s="61"/>
      <c r="BK102" s="61"/>
      <c r="BM102" s="51">
        <f t="shared" si="875"/>
        <v>0</v>
      </c>
      <c r="BN102" s="51">
        <f t="shared" si="875"/>
        <v>0</v>
      </c>
      <c r="BO102" s="51">
        <f t="shared" si="875"/>
        <v>0</v>
      </c>
      <c r="BP102" s="51">
        <f t="shared" si="875"/>
        <v>0</v>
      </c>
      <c r="BQ102" s="51">
        <f t="shared" si="875"/>
        <v>0</v>
      </c>
      <c r="BR102" s="51">
        <f t="shared" si="875"/>
        <v>24.5</v>
      </c>
      <c r="BS102" s="52">
        <f>IF(COUNT(P102:T102)&gt;1,MINA(P102:T102)*BS$9,0)</f>
        <v>0</v>
      </c>
      <c r="BT102" s="88">
        <f t="shared" si="876"/>
        <v>0</v>
      </c>
      <c r="BU102" s="88">
        <f t="shared" si="876"/>
        <v>35.025000000000006</v>
      </c>
      <c r="BV102" s="88">
        <f t="shared" si="876"/>
        <v>0</v>
      </c>
      <c r="BW102" s="88">
        <f t="shared" si="876"/>
        <v>0</v>
      </c>
      <c r="BX102" s="88">
        <f t="shared" si="876"/>
        <v>0</v>
      </c>
      <c r="BY102" s="88">
        <f t="shared" si="876"/>
        <v>0</v>
      </c>
      <c r="BZ102" s="88">
        <f t="shared" si="876"/>
        <v>0</v>
      </c>
      <c r="CA102" s="88">
        <f t="shared" si="876"/>
        <v>0</v>
      </c>
      <c r="CB102" s="88">
        <f t="shared" si="876"/>
        <v>0</v>
      </c>
      <c r="CC102" s="88">
        <f t="shared" si="876"/>
        <v>0</v>
      </c>
      <c r="CD102" s="103">
        <f>SUM(BM102:CC102)</f>
        <v>59.525000000000006</v>
      </c>
      <c r="CE102" s="52"/>
      <c r="CF102" s="107">
        <f>J102</f>
        <v>71.2</v>
      </c>
      <c r="CG102" s="104">
        <f>CD102/CF102</f>
        <v>0.8360252808988764</v>
      </c>
      <c r="CH102" s="53">
        <f>Seilareal/Lwl/Lwl</f>
        <v>0.54786088027085256</v>
      </c>
      <c r="CI102" s="119">
        <f>Seilareal/Depl^0.667/K$7</f>
        <v>0.82829955204471095</v>
      </c>
      <c r="CJ102" s="53">
        <f>Seilareal/Lwl/Lwl/SApRS1</f>
        <v>0.83127987164425832</v>
      </c>
      <c r="CK102" s="209"/>
      <c r="CL102" s="209">
        <f>(ROUND(TBF/CL$6,3)*CL$6)*CL$4</f>
        <v>82.5</v>
      </c>
      <c r="CM102" s="110">
        <f t="shared" si="690"/>
        <v>0.82719702900888925</v>
      </c>
      <c r="CN102" s="64">
        <f>IF(SeilBeregnet=0,"-",(SeilBeregnet)^(1/2)*StHfaktor/(Depl+DeplTillegg/1000+Vann/1000+Diesel/1000*0.84)^(1/3))</f>
        <v>2.7375557895966991</v>
      </c>
      <c r="CO102" s="64">
        <f t="shared" si="659"/>
        <v>1.6201851746019651</v>
      </c>
      <c r="CP102" s="64">
        <f t="shared" si="660"/>
        <v>1.8374951981506853</v>
      </c>
      <c r="CQ102" s="110">
        <f t="shared" si="661"/>
        <v>1.0027152827972585</v>
      </c>
      <c r="CR102" s="172" t="str">
        <f t="shared" si="691"/>
        <v>-</v>
      </c>
      <c r="CS102" s="162"/>
      <c r="CT102" s="172" t="str">
        <f t="shared" si="692"/>
        <v>-</v>
      </c>
      <c r="CU102" s="164"/>
      <c r="CV102" s="195" t="s">
        <v>145</v>
      </c>
      <c r="CW102" s="64">
        <v>0.78</v>
      </c>
      <c r="CX102" s="64">
        <v>0.81</v>
      </c>
      <c r="CY102" s="64">
        <v>0.79</v>
      </c>
      <c r="CZ102" s="154" t="s">
        <v>111</v>
      </c>
      <c r="DA102" s="64">
        <f t="shared" si="854"/>
        <v>2.0710896001352213</v>
      </c>
      <c r="DB102" s="49">
        <f t="shared" si="855"/>
        <v>12.352941176470589</v>
      </c>
      <c r="DC102" s="50">
        <f t="shared" si="856"/>
        <v>0</v>
      </c>
      <c r="DE102" s="110">
        <f>IF(SeilBeregnet=0,"-",DE$7*(DG:DG+DE$6)*DL:DL*PropF+ErfaringsF+Dyp_F)</f>
        <v>0.82003049750484114</v>
      </c>
      <c r="DF102" s="144" t="str">
        <f t="shared" si="857"/>
        <v>-</v>
      </c>
      <c r="DG102" s="110">
        <f t="shared" si="858"/>
        <v>4.4185769001480573</v>
      </c>
      <c r="DH102" s="136">
        <f>IF(SeilBeregnet=0,DH101,(SeilBeregnet^0.5/(Depl^0.3333))^DH$3*DH$7)</f>
        <v>2.7537228133179887</v>
      </c>
      <c r="DI102" s="136">
        <f>IF(SeilBeregnet=0,DI101,(SeilBeregnet^0.5/Lwl)^DI$3*DI$7)</f>
        <v>0</v>
      </c>
      <c r="DJ102" s="136">
        <f>IF(SeilBeregnet=0,DJ101,(0.1*Loa/Depl^0.3333)^DJ$3*DJ$7)</f>
        <v>0</v>
      </c>
      <c r="DK102" s="136">
        <f>IF(SeilBeregnet=0,DK101,((Loa)/Bredde)^DK$3*DK$7)</f>
        <v>1.664854086830069</v>
      </c>
      <c r="DL102" s="110">
        <f>IF(SeilBeregnet=0,DL101,(Lwl)^DL$3)</f>
        <v>1.8374951981506853</v>
      </c>
      <c r="DM102" s="136">
        <f>IF(SeilBeregnet=0,DM101,(Dypg/Loa)^DM$3*5*DM$7)</f>
        <v>2.0291986247835694</v>
      </c>
      <c r="DO102" s="110">
        <f t="shared" si="344"/>
        <v>0.85278044227720551</v>
      </c>
      <c r="DP102" s="110">
        <f t="shared" si="859"/>
        <v>0.80686122485609491</v>
      </c>
      <c r="DR102" s="110">
        <f t="shared" si="860"/>
        <v>0.8111260752192706</v>
      </c>
      <c r="DS102" s="125" t="str">
        <f t="shared" si="861"/>
        <v>-</v>
      </c>
      <c r="DT102" s="110">
        <f t="shared" si="862"/>
        <v>0.81339250253058037</v>
      </c>
      <c r="DU102" s="125" t="str">
        <f t="shared" si="863"/>
        <v>-</v>
      </c>
      <c r="DV102" s="110">
        <f t="shared" si="214"/>
        <v>2.7534674689337537</v>
      </c>
      <c r="DW102" s="110">
        <f t="shared" si="215"/>
        <v>2.2504345510197821</v>
      </c>
      <c r="DX102" s="110">
        <f>IF(SeilBeregnet=0,DX101,((Loa+Lwl)/Bredde)^DX$3)</f>
        <v>1.5137000520175456</v>
      </c>
      <c r="DZ102" s="110">
        <f t="shared" si="864"/>
        <v>0.81651746348120169</v>
      </c>
      <c r="EB102" s="110">
        <f t="shared" si="217"/>
        <v>2.7534674689337537</v>
      </c>
      <c r="EC102" s="110">
        <f>IF(SeilBeregnet=0,EC101,Lwl^EC$3)</f>
        <v>2.250598857644956</v>
      </c>
      <c r="ED102" s="110">
        <f>IF(SeilBeregnet=0,ED101,((Loa+Lwl)/Bredde)^ED$3)</f>
        <v>1.7379172576819111</v>
      </c>
      <c r="EE102" s="110">
        <f t="shared" si="865"/>
        <v>0.81594040008209745</v>
      </c>
      <c r="EG102" s="110">
        <f>IF(SeilBeregnet=0,EG101,(EH102*EI102)^EG$3)</f>
        <v>4.1679238509536427</v>
      </c>
      <c r="EH102" s="110">
        <f t="shared" si="219"/>
        <v>2.7534674689337537</v>
      </c>
      <c r="EI102" s="110">
        <f>IF(SeilBeregnet=0,EI101,((Loa+Lwl)/Bredde)^EI$3)</f>
        <v>1.5137000520175456</v>
      </c>
      <c r="EJ102" s="110">
        <f>IF(SeilBeregnet=0,EJ101,Lwl^EJ$3)</f>
        <v>1.8374951981506853</v>
      </c>
      <c r="EK102" s="110">
        <f>IF(SeilBeregnet=0,"-",EK$7*(EK$4*EM:EM+EK$6)*EP:EP*PropF+ErfaringsF+Dyp_F)</f>
        <v>0.81460534807831275</v>
      </c>
      <c r="EM102" s="110">
        <f>IF(SeilBeregnet=0,EM101,(EN:EN*EO:EO)^EM$3)</f>
        <v>1.6318903773202409</v>
      </c>
      <c r="EN102" s="110">
        <f t="shared" si="220"/>
        <v>2.7534674689337537</v>
      </c>
      <c r="EO102" s="110">
        <f>IF(SeilBeregnet=0,EO101,((Loa+Lwl)/Bredde/6)^EO$3)</f>
        <v>0.96716821013383469</v>
      </c>
      <c r="EP102" s="110">
        <f>IF(SeilBeregnet=0,EP101,(Lwl*0.7+Loa*0.3)^EP$3)</f>
        <v>1.8536020361776409</v>
      </c>
      <c r="EQ102" s="110">
        <f>IF(SeilBeregnet=0,"-",EQ$7*(ES:ES+EQ$6)*EV:EV*PropF+ErfaringsF+Dyp_F)</f>
        <v>0.82776217733760105</v>
      </c>
      <c r="ES102" s="110">
        <f>(ET:ET*EU:EU)^ES$3</f>
        <v>1.6319660427108975</v>
      </c>
      <c r="ET102" s="110">
        <f t="shared" si="221"/>
        <v>2.7537228133179887</v>
      </c>
      <c r="EU102" s="110">
        <f>IF(SeilBeregnet=0,EU101,((Loa+Lwl)/Bredde/6)^EU$3)</f>
        <v>0.96716821013383469</v>
      </c>
      <c r="EV102" s="110">
        <f>IF(SeilBeregnet=0,EV101,(Lwl*0.7+Loa*0.3)^EV$3)</f>
        <v>1.8536020361776409</v>
      </c>
      <c r="EW102" s="110">
        <f>IF(SeilBeregnet=0,"-",EW$7*(EY:EY+EW$6)*FB:FB*PropF+ErfaringsF+Dyp_F)</f>
        <v>0.8156173568926417</v>
      </c>
      <c r="EX102" s="144" t="str">
        <f t="shared" si="866"/>
        <v>-</v>
      </c>
      <c r="EY102" s="110">
        <f>(EZ:EZ*FA:FA)^EY$3</f>
        <v>2.5758718263947928</v>
      </c>
      <c r="EZ102" s="136">
        <f>IF(SeilBeregnet=0,EZ101,(SeilBeregnet^0.5/(Depl^0.3333))^EZ$3)</f>
        <v>2.7537228133179887</v>
      </c>
      <c r="FA102" s="136">
        <f>IF(SeilBeregnet=0,FA101,((Loa+Lwl)/Bredde/6)^FA$3)</f>
        <v>0.93541434669348533</v>
      </c>
      <c r="FB102" s="110">
        <f>IF(SeilBeregnet=0,FB101,(Lwl*0.07+Loa*0.03)^FB$3)</f>
        <v>1.0423570253996639</v>
      </c>
      <c r="FC102" s="110">
        <f>IF(SeilBeregnet=0,"-",FC$7*(FE:FE+FC$6)*FI:FI*PropF+ErfaringsF+Dyp_F)</f>
        <v>0.81061810614341223</v>
      </c>
      <c r="FD102" s="144" t="str">
        <f t="shared" si="867"/>
        <v>-</v>
      </c>
      <c r="FE102" s="110">
        <f>(FF:FF+FG:FG+FH:FH)^FE$3+FE$7</f>
        <v>4.5953527465861121</v>
      </c>
      <c r="FF102" s="136">
        <f>IF(SeilBeregnet=0,FF101,(SeilBeregnet^0.5/(Depl^0.3333))^FF$3)</f>
        <v>2.7537228133179887</v>
      </c>
      <c r="FG102" s="136">
        <f>IF(SeilBeregnet=0,FG101,(SeilBeregnet^0.5/Lwl*FG$7)^FG$3)</f>
        <v>0.67677584643805455</v>
      </c>
      <c r="FH102" s="136">
        <f>IF(SeilBeregnet=0,FH101,((Loa)/Bredde)^FH$3*FH$7)</f>
        <v>1.664854086830069</v>
      </c>
      <c r="FI102" s="110">
        <f>IF(SeilBeregnet=0,FI101,(Lwl)^FI$3)</f>
        <v>1.8374951981506853</v>
      </c>
      <c r="FJ102" s="110">
        <f>IF(SeilBeregnet=0,"-",FJ$7*(FL:FL+FJ$6)*FO:FO*PropF+ErfaringsF+Dyp_F)</f>
        <v>0.82025129172170019</v>
      </c>
      <c r="FK102" s="144" t="str">
        <f t="shared" si="868"/>
        <v>-</v>
      </c>
      <c r="FL102" s="110">
        <f>(FM:FM*FN:FN)^FL$3</f>
        <v>4.584546679749649</v>
      </c>
      <c r="FM102" s="136">
        <f>IF(SeilBeregnet=0,FM101,(SeilBeregnet^0.5/(Depl^0.3333))^FM$3)</f>
        <v>2.7537228133179887</v>
      </c>
      <c r="FN102" s="136">
        <f>IF(SeilBeregnet=0,FN101,(Loa/Bredde)^FN$3)</f>
        <v>1.664854086830069</v>
      </c>
      <c r="FO102" s="110">
        <f>IF(SeilBeregnet=0,FO101,Lwl^FO$3)</f>
        <v>1.8374951981506853</v>
      </c>
      <c r="FQ102">
        <v>0.95</v>
      </c>
      <c r="FR102" s="64">
        <f t="shared" si="240"/>
        <v>1.0526766857744989</v>
      </c>
      <c r="FS102" s="479"/>
      <c r="FT102" s="18"/>
      <c r="FU102" s="481"/>
      <c r="FV102" s="504"/>
      <c r="FW102" s="18"/>
      <c r="FX102" s="18"/>
      <c r="FY102" s="18"/>
      <c r="FZ102" s="18"/>
      <c r="GB102" s="18"/>
      <c r="GC102" s="481"/>
      <c r="GD102" s="8"/>
      <c r="GE102" s="8"/>
      <c r="GF102" s="8"/>
      <c r="GG102" s="8"/>
      <c r="GI102" s="18"/>
      <c r="GJ102" s="18"/>
      <c r="GK102" s="18"/>
      <c r="GL102" s="18"/>
      <c r="GM102" s="18"/>
      <c r="GN102" s="18"/>
      <c r="GO102" s="18"/>
      <c r="GP102" s="18"/>
    </row>
    <row r="103" spans="1:198" ht="15.6" x14ac:dyDescent="0.3">
      <c r="A103" s="54" t="s">
        <v>59</v>
      </c>
      <c r="B103" s="223">
        <f t="shared" si="199"/>
        <v>47.408136482939625</v>
      </c>
      <c r="C103" s="55" t="s">
        <v>22</v>
      </c>
      <c r="D103" s="55"/>
      <c r="E103" s="55"/>
      <c r="F103" s="55"/>
      <c r="G103" s="56"/>
      <c r="H103" s="209"/>
      <c r="I103" s="126" t="str">
        <f>A103</f>
        <v>RS 5 Liv</v>
      </c>
      <c r="J103" s="229"/>
      <c r="K103" s="119"/>
      <c r="L103" s="119"/>
      <c r="M103" s="95"/>
      <c r="N103" s="265"/>
      <c r="O103" s="169"/>
      <c r="P103" s="169"/>
      <c r="Q103" s="169">
        <v>26.3</v>
      </c>
      <c r="R103" s="169">
        <v>15.8</v>
      </c>
      <c r="S103" s="169"/>
      <c r="T103" s="169">
        <v>20.2</v>
      </c>
      <c r="U103" s="169">
        <v>38.5</v>
      </c>
      <c r="V103" s="169"/>
      <c r="W103" s="169"/>
      <c r="X103" s="169">
        <v>21</v>
      </c>
      <c r="Y103" s="169">
        <v>13.9</v>
      </c>
      <c r="Z103" s="169"/>
      <c r="AA103" s="169">
        <v>6.9</v>
      </c>
      <c r="AB103" s="169"/>
      <c r="AC103" s="169"/>
      <c r="AD103" s="169"/>
      <c r="AE103" s="270">
        <v>10.4</v>
      </c>
      <c r="AF103" s="296"/>
      <c r="AG103" s="377"/>
      <c r="AH103" s="296"/>
      <c r="AI103" s="377"/>
      <c r="AJ103" s="296" t="s">
        <v>261</v>
      </c>
      <c r="AK103" s="47">
        <f>VLOOKUP(AJ103,Skrogform!$1:$1048576,3,FALSE)</f>
        <v>0.97</v>
      </c>
      <c r="AL103" s="57">
        <v>14.45</v>
      </c>
      <c r="AM103" s="57">
        <v>13.12</v>
      </c>
      <c r="AN103" s="57">
        <v>3.95</v>
      </c>
      <c r="AO103" s="57">
        <v>2.5499999999999998</v>
      </c>
      <c r="AP103" s="57">
        <v>33.5</v>
      </c>
      <c r="AQ103" s="57">
        <v>7</v>
      </c>
      <c r="AR103" s="57">
        <v>6.1</v>
      </c>
      <c r="AS103" s="281">
        <v>80</v>
      </c>
      <c r="AT103" s="282">
        <f>AS103*7</f>
        <v>560</v>
      </c>
      <c r="AU103" s="281">
        <f>ROUND(Depl*10,-2)</f>
        <v>300</v>
      </c>
      <c r="AV103" s="281">
        <f>ROUND(Depl*10,-2)</f>
        <v>300</v>
      </c>
      <c r="AW103" s="270">
        <f>Depl+Diesel/1000+Vann/1000</f>
        <v>34.099999999999994</v>
      </c>
      <c r="AX103" s="281"/>
      <c r="AY103" s="98">
        <f>Bredde/(Loa+Lwl)*2</f>
        <v>0.28654334421472616</v>
      </c>
      <c r="AZ103" s="98">
        <f>(Kjøl+Ballast)/Depl</f>
        <v>0.39104477611940297</v>
      </c>
      <c r="BA103" s="288">
        <f>BA$7*((Depl-Kjøl-Ballast-VektMotor/1000-VektAnnet/1000)/Loa/Lwl/Bredde)</f>
        <v>1.1463282711604867</v>
      </c>
      <c r="BB103" s="98">
        <f>BB$7*(Depl/Loa/Lwl/Lwl)</f>
        <v>1.0113406164257792</v>
      </c>
      <c r="BC103" s="178">
        <f>BC$7*(Depl/Loa/Lwl/Bredde)</f>
        <v>1.2416708926546849</v>
      </c>
      <c r="BD103" s="98">
        <f>BD$7*Bredde/(Loa+Lwl)*2</f>
        <v>0.81741880881899831</v>
      </c>
      <c r="BE103" s="98">
        <f>BE$7*(Dypg/Lwl)</f>
        <v>1.063063361611877</v>
      </c>
      <c r="BF103" s="58" t="s">
        <v>24</v>
      </c>
      <c r="BG103" s="296">
        <v>4</v>
      </c>
      <c r="BH103" s="296">
        <v>56</v>
      </c>
      <c r="BI103" s="47">
        <f t="shared" si="853"/>
        <v>1</v>
      </c>
      <c r="BJ103" s="61"/>
      <c r="BK103" s="61"/>
      <c r="BM103" s="214"/>
      <c r="BN103" s="214" t="str">
        <f>$A103</f>
        <v>RS 5 Liv</v>
      </c>
      <c r="BO103" s="10"/>
      <c r="BP103" s="10"/>
      <c r="BQ103" s="10"/>
      <c r="BR103" s="10"/>
      <c r="BS103" s="52"/>
      <c r="BT103" s="214" t="str">
        <f>$A103</f>
        <v>RS 5 Liv</v>
      </c>
      <c r="BU103" s="10"/>
      <c r="BV103" s="10"/>
      <c r="BW103" s="10"/>
      <c r="BX103" s="10"/>
      <c r="BY103" s="10"/>
      <c r="BZ103" s="10"/>
      <c r="CA103" s="10"/>
      <c r="CB103" s="10"/>
      <c r="CC103" s="10"/>
      <c r="CD103" s="214"/>
      <c r="CE103" s="10"/>
      <c r="CF103" s="214" t="str">
        <f>$A103</f>
        <v>RS 5 Liv</v>
      </c>
      <c r="CG103" s="212"/>
      <c r="CH103" s="212"/>
      <c r="CI103" s="119"/>
      <c r="CJ103" s="212"/>
      <c r="CK103" s="208"/>
      <c r="CL103" s="208" t="s">
        <v>26</v>
      </c>
      <c r="CM103" s="110" t="str">
        <f t="shared" si="690"/>
        <v>-</v>
      </c>
      <c r="CN103" s="64" t="str">
        <f>IF(SeilBeregnet=0,"-",(SeilBeregnet)^(1/2)*StHfaktor/(Depl+DeplTillegg/1000+Vann/1000+Diesel/1000*0.84)^(1/3))</f>
        <v>-</v>
      </c>
      <c r="CO103" s="64" t="str">
        <f t="shared" si="659"/>
        <v>-</v>
      </c>
      <c r="CP103" s="64" t="str">
        <f t="shared" si="660"/>
        <v>-</v>
      </c>
      <c r="CQ103" s="110" t="str">
        <f t="shared" si="661"/>
        <v>-</v>
      </c>
      <c r="CR103" s="172">
        <f t="shared" si="691"/>
        <v>0.93176470588235305</v>
      </c>
      <c r="CS103" s="162">
        <v>0.9</v>
      </c>
      <c r="CT103" s="172" t="str">
        <f t="shared" si="692"/>
        <v>-</v>
      </c>
      <c r="CU103" s="164">
        <v>1.22</v>
      </c>
      <c r="CV103" s="195" t="s">
        <v>145</v>
      </c>
      <c r="CW103" s="30" t="s">
        <v>26</v>
      </c>
      <c r="CX103" s="30" t="s">
        <v>26</v>
      </c>
      <c r="CY103" s="30" t="s">
        <v>26</v>
      </c>
      <c r="CZ103" s="153">
        <v>2022</v>
      </c>
      <c r="DA103" s="64" t="str">
        <f t="shared" si="854"/>
        <v>-</v>
      </c>
      <c r="DB103" s="49">
        <f t="shared" si="855"/>
        <v>14.111787493082456</v>
      </c>
      <c r="DC103" s="50">
        <f t="shared" si="856"/>
        <v>0</v>
      </c>
      <c r="DE103" s="110" t="str">
        <f>IF(SeilBeregnet=0,"-",DE$7*(DG:DG+DE$6)*DL:DL*PropF+ErfaringsF+Dyp_F)</f>
        <v>-</v>
      </c>
      <c r="DF103" s="144" t="str">
        <f t="shared" ref="DF103:DF107" si="895">IF($DQ103=0,"-",(DE103-$DO103)*100)</f>
        <v>-</v>
      </c>
      <c r="DG103" s="110">
        <f t="shared" si="858"/>
        <v>4.3892930594118695</v>
      </c>
      <c r="DH103" s="136">
        <f>IF(SeilBeregnet=0,DH14,(SeilBeregnet^0.5/(Depl^0.3333))^DH$3*DH$7)</f>
        <v>2.6572422518429919</v>
      </c>
      <c r="DI103" s="136">
        <f>IF(SeilBeregnet=0,DI14,(SeilBeregnet^0.5/Lwl)^DI$3*DI$7)</f>
        <v>0</v>
      </c>
      <c r="DJ103" s="136">
        <f>IF(SeilBeregnet=0,DJ14,(0.1*Loa/Depl^0.3333)^DJ$3*DJ$7)</f>
        <v>0</v>
      </c>
      <c r="DK103" s="136">
        <f>IF(SeilBeregnet=0,DK14,((Loa)/Bredde)^DK$3*DK$7)</f>
        <v>1.7320508075688772</v>
      </c>
      <c r="DL103" s="110">
        <f>IF(SeilBeregnet=0,DL14,(Lwl)^DL$3)</f>
        <v>1.8833028354976902</v>
      </c>
      <c r="DM103" s="136">
        <f>IF(SeilBeregnet=0,DM14,(Dypg/Loa)^DM$3*5*DM$7)</f>
        <v>2.0302373751074416</v>
      </c>
      <c r="DO103" s="110" t="str">
        <f t="shared" ref="DO103:DO107" si="896">IF(SeilBeregnet=0,"-",Skaleringsfaktor*(1*(LBf+SaDeplf)*Lf*PropF+Strikkf2)+ErfaringsF+Dyp_F)</f>
        <v>-</v>
      </c>
      <c r="DP103" s="110" t="str">
        <f t="shared" si="859"/>
        <v>-</v>
      </c>
      <c r="DR103" s="110" t="str">
        <f t="shared" si="860"/>
        <v>-</v>
      </c>
      <c r="DS103" s="125" t="str">
        <f t="shared" ref="DS103:DS107" si="897">IF($DQ103=0,"-",DR103-$DO103)</f>
        <v>-</v>
      </c>
      <c r="DT103" s="110" t="str">
        <f t="shared" si="862"/>
        <v>-</v>
      </c>
      <c r="DU103" s="125" t="str">
        <f t="shared" ref="DU103:DU107" si="898">IF($DQ103=0,"-",DT103-$DO103)</f>
        <v>-</v>
      </c>
      <c r="DV103" s="110">
        <f>IF(SeilBeregnet=0,DV55,SeilBeregnet^0.5/Depl^0.33333)</f>
        <v>2.8179313652291849</v>
      </c>
      <c r="DW103" s="110">
        <f>IF(SeilBeregnet=0,DW55,Lwl^0.3333)</f>
        <v>2.317501078004538</v>
      </c>
      <c r="DX103" s="110">
        <f>IF(SeilBeregnet=0,DX55,((Loa+Lwl)/Bredde)^DX$3)</f>
        <v>1.6238537419499199</v>
      </c>
      <c r="DZ103" s="110" t="str">
        <f t="shared" si="864"/>
        <v>-</v>
      </c>
      <c r="EB103" s="110">
        <f>IF(SeilBeregnet=0,EB55,SeilBeregnet^0.5/Depl^0.33333)</f>
        <v>2.8179313652291849</v>
      </c>
      <c r="EC103" s="110">
        <f>IF(SeilBeregnet=0,EC55,Lwl^EC$3)</f>
        <v>2.3176764073442899</v>
      </c>
      <c r="ED103" s="110">
        <f>IF(SeilBeregnet=0,ED55,((Loa+Lwl)/Bredde)^ED$3)</f>
        <v>1.9085394483088816</v>
      </c>
      <c r="EE103" s="110" t="str">
        <f t="shared" si="865"/>
        <v>-</v>
      </c>
      <c r="EG103" s="110">
        <f>IF(SeilBeregnet=0,EG55,(EH103*EI103)^EG$3)</f>
        <v>4.5759083919854584</v>
      </c>
      <c r="EH103" s="110">
        <f>IF(SeilBeregnet=0,EH55,SeilBeregnet^0.5/Depl^0.33333)</f>
        <v>2.8179313652291849</v>
      </c>
      <c r="EI103" s="110">
        <f>IF(SeilBeregnet=0,EI55,((Loa+Lwl)/Bredde)^EI$3)</f>
        <v>1.6238537419499199</v>
      </c>
      <c r="EJ103" s="110">
        <f>IF(SeilBeregnet=0,EJ55,Lwl^EJ$3)</f>
        <v>1.878418417945126</v>
      </c>
      <c r="EK103" s="110" t="str">
        <f>IF(SeilBeregnet=0,"-",EK$7*(EK$4*EM:EM+EK$6)*EP:EP*PropF+ErfaringsF+Dyp_F)</f>
        <v>-</v>
      </c>
      <c r="EM103" s="110">
        <f>IF(SeilBeregnet=0,EM55,(EN:EN*EO:EO)^EM$3)</f>
        <v>1.7098962286413051</v>
      </c>
      <c r="EN103" s="110">
        <f>IF(SeilBeregnet=0,EN55,SeilBeregnet^0.5/Depl^0.33333)</f>
        <v>2.8179313652291849</v>
      </c>
      <c r="EO103" s="110">
        <f>IF(SeilBeregnet=0,EO55,((Loa+Lwl)/Bredde/6)^EO$3)</f>
        <v>1.0375501507234075</v>
      </c>
      <c r="EP103" s="110">
        <f>IF(SeilBeregnet=0,EP55,(Lwl*0.7+Loa*0.3)^EP$3)</f>
        <v>1.8992304700730467</v>
      </c>
      <c r="EQ103" s="110" t="str">
        <f>IF(SeilBeregnet=0,"-",EQ$7*(ES:ES+EQ$6)*EV:EV*PropF+ErfaringsF+Dyp_F)</f>
        <v>-</v>
      </c>
      <c r="ES103" s="110">
        <f>(ET:ET*EU:EU)^ES$3</f>
        <v>1.7099766510785424</v>
      </c>
      <c r="ET103" s="110">
        <f>IF(SeilBeregnet=0,ET55,SeilBeregnet^0.5/Depl^0.3333)</f>
        <v>2.8181964459212718</v>
      </c>
      <c r="EU103" s="110">
        <f>IF(SeilBeregnet=0,EU55,((Loa+Lwl)/Bredde/6)^EU$3)</f>
        <v>1.0375501507234075</v>
      </c>
      <c r="EV103" s="110">
        <f>IF(SeilBeregnet=0,EV55,(Lwl*0.7+Loa*0.3)^EV$3)</f>
        <v>1.8992304700730467</v>
      </c>
      <c r="EW103" s="110" t="str">
        <f>IF(SeilBeregnet=0,"-",EW$7*(EY:EY+EW$6)*FB:FB*PropF+ErfaringsF+Dyp_F)</f>
        <v>-</v>
      </c>
      <c r="EX103" s="144" t="str">
        <f t="shared" si="237"/>
        <v>-</v>
      </c>
      <c r="EY103" s="110">
        <f>(EZ:EZ*FA:FA)^EY$3</f>
        <v>3.0338175444806952</v>
      </c>
      <c r="EZ103" s="136">
        <f>IF(SeilBeregnet=0,EZ55,(SeilBeregnet^0.5/(Depl^0.3333))^EZ$3)</f>
        <v>2.8181964459212718</v>
      </c>
      <c r="FA103" s="136">
        <f>IF(SeilBeregnet=0,FA55,((Loa+Lwl)/Bredde/6)^FA$3)</f>
        <v>1.0765103152661655</v>
      </c>
      <c r="FB103" s="110">
        <f>IF(SeilBeregnet=0,FB55,(Lwl*0.07+Loa*0.03)^FB$3)</f>
        <v>1.0680157793827667</v>
      </c>
      <c r="FC103" s="110" t="str">
        <f>IF(SeilBeregnet=0,"-",FC$7*(FE:FE+FC$6)*FI:FI*PropF+ErfaringsF+Dyp_F)</f>
        <v>-</v>
      </c>
      <c r="FD103" s="144" t="str">
        <f t="shared" si="238"/>
        <v>-</v>
      </c>
      <c r="FE103" s="110">
        <f>(FF:FF+FG:FG+FH:FH)^FE$3+FE$7</f>
        <v>4.8904656756808258</v>
      </c>
      <c r="FF103" s="136">
        <f>IF(SeilBeregnet=0,FF55,(SeilBeregnet^0.5/(Depl^0.3333))^FF$3)</f>
        <v>2.8181964459212718</v>
      </c>
      <c r="FG103" s="136">
        <f>IF(SeilBeregnet=0,FG55,(SeilBeregnet^0.5/Lwl*FG$7)^FG$3)</f>
        <v>0.64367375131402971</v>
      </c>
      <c r="FH103" s="136">
        <f>IF(SeilBeregnet=0,FH55,((Loa)/Bredde)^FH$3*FH$7)</f>
        <v>1.9285954784455239</v>
      </c>
      <c r="FI103" s="110">
        <f>IF(SeilBeregnet=0,FI55,(Lwl)^FI$3)</f>
        <v>1.878418417945126</v>
      </c>
      <c r="FJ103" s="110" t="str">
        <f>IF(SeilBeregnet=0,"-",FJ$7*(FL:FL+FJ$6)*FO:FO*PropF+ErfaringsF+Dyp_F)</f>
        <v>-</v>
      </c>
      <c r="FK103" s="144" t="str">
        <f t="shared" si="239"/>
        <v>-</v>
      </c>
      <c r="FL103" s="110">
        <f>(FM:FM*FN:FN)^FL$3</f>
        <v>5.43516092297501</v>
      </c>
      <c r="FM103" s="136">
        <f>IF(SeilBeregnet=0,FM55,(SeilBeregnet^0.5/(Depl^0.3333))^FM$3)</f>
        <v>2.8181964459212718</v>
      </c>
      <c r="FN103" s="136">
        <f>IF(SeilBeregnet=0,FN55,(Loa/Bredde)^FN$3)</f>
        <v>1.9285954784455239</v>
      </c>
      <c r="FO103" s="110">
        <f>IF(SeilBeregnet=0,FO55,Lwl^FO$3)</f>
        <v>1.878418417945126</v>
      </c>
      <c r="FQ103">
        <v>0.95</v>
      </c>
      <c r="FR103" s="64" t="str">
        <f t="shared" si="240"/>
        <v>-</v>
      </c>
      <c r="FS103" s="480" t="s">
        <v>481</v>
      </c>
      <c r="FT103" s="59" t="s">
        <v>60</v>
      </c>
      <c r="FU103" s="475"/>
      <c r="FV103" s="77"/>
      <c r="FW103" s="59"/>
      <c r="FX103" s="59"/>
      <c r="FY103" s="59" t="s">
        <v>455</v>
      </c>
      <c r="FZ103" s="59"/>
      <c r="GB103" s="59" t="s">
        <v>522</v>
      </c>
      <c r="GC103" s="475" t="s">
        <v>522</v>
      </c>
      <c r="GD103" s="60" t="s">
        <v>522</v>
      </c>
      <c r="GE103" s="60" t="s">
        <v>522</v>
      </c>
      <c r="GF103" s="60" t="s">
        <v>522</v>
      </c>
      <c r="GG103" s="60" t="s">
        <v>522</v>
      </c>
      <c r="GI103" s="59" t="s">
        <v>514</v>
      </c>
      <c r="GJ103" s="59" t="s">
        <v>506</v>
      </c>
      <c r="GK103" s="59" t="s">
        <v>718</v>
      </c>
      <c r="GL103" s="59" t="s">
        <v>719</v>
      </c>
      <c r="GM103" s="59">
        <v>1894</v>
      </c>
      <c r="GN103" s="59" t="s">
        <v>470</v>
      </c>
      <c r="GO103" s="59" t="s">
        <v>511</v>
      </c>
      <c r="GP103" s="59" t="s">
        <v>522</v>
      </c>
    </row>
    <row r="104" spans="1:198" ht="15.6" x14ac:dyDescent="0.3">
      <c r="A104" s="62" t="s">
        <v>129</v>
      </c>
      <c r="B104" s="223"/>
      <c r="C104" s="63" t="str">
        <f>C103</f>
        <v>Gaffel</v>
      </c>
      <c r="D104" s="63"/>
      <c r="E104" s="63"/>
      <c r="F104" s="63"/>
      <c r="G104" s="56"/>
      <c r="H104" s="209">
        <f>TBFavrundet</f>
        <v>93.5</v>
      </c>
      <c r="I104" s="65">
        <f>COUNTA(O104:AD104)</f>
        <v>6</v>
      </c>
      <c r="J104" s="228">
        <f>SUM(O104:AD104)</f>
        <v>126.80000000000001</v>
      </c>
      <c r="K104" s="119">
        <f>Seilareal/Depl^0.667/K$7</f>
        <v>1.1143400208177769</v>
      </c>
      <c r="L104" s="119">
        <f>Seilareal/Lwl/Lwl/L$7</f>
        <v>1.1177085091938952</v>
      </c>
      <c r="M104" s="95">
        <f>RiggF</f>
        <v>0.73777602523659302</v>
      </c>
      <c r="N104" s="265">
        <f>StHfaktor</f>
        <v>0.97137615426777724</v>
      </c>
      <c r="O104" s="147"/>
      <c r="P104" s="147"/>
      <c r="Q104" s="169">
        <v>26.3</v>
      </c>
      <c r="R104" s="147"/>
      <c r="S104" s="147"/>
      <c r="T104" s="169">
        <v>20.2</v>
      </c>
      <c r="U104" s="169">
        <v>38.5</v>
      </c>
      <c r="V104" s="148"/>
      <c r="W104" s="148"/>
      <c r="X104" s="169">
        <v>21</v>
      </c>
      <c r="Y104" s="169">
        <v>13.9</v>
      </c>
      <c r="Z104" s="147"/>
      <c r="AA104" s="169">
        <v>6.9</v>
      </c>
      <c r="AB104" s="147"/>
      <c r="AC104" s="147"/>
      <c r="AD104" s="147"/>
      <c r="AE104" s="260">
        <f t="shared" ref="AE104" si="899">AE103</f>
        <v>10.4</v>
      </c>
      <c r="AF104" s="375">
        <f t="shared" ref="AF104:AH104" si="900" xml:space="preserve"> AF103</f>
        <v>0</v>
      </c>
      <c r="AG104" s="377"/>
      <c r="AH104" s="375">
        <f t="shared" si="900"/>
        <v>0</v>
      </c>
      <c r="AI104" s="377"/>
      <c r="AJ104" s="295" t="str">
        <f t="shared" ref="AJ104" si="901" xml:space="preserve"> AJ103</f>
        <v>RS</v>
      </c>
      <c r="AK104" s="47">
        <f>VLOOKUP(AJ104,Skrogform!$1:$1048576,3,FALSE)</f>
        <v>0.97</v>
      </c>
      <c r="AL104" s="66">
        <f t="shared" ref="AL104:AT104" si="902">AL103</f>
        <v>14.45</v>
      </c>
      <c r="AM104" s="66">
        <f t="shared" si="902"/>
        <v>13.12</v>
      </c>
      <c r="AN104" s="66">
        <f t="shared" si="902"/>
        <v>3.95</v>
      </c>
      <c r="AO104" s="66">
        <f t="shared" si="902"/>
        <v>2.5499999999999998</v>
      </c>
      <c r="AP104" s="66">
        <f t="shared" si="902"/>
        <v>33.5</v>
      </c>
      <c r="AQ104" s="66">
        <f t="shared" si="902"/>
        <v>7</v>
      </c>
      <c r="AR104" s="66">
        <f t="shared" si="902"/>
        <v>6.1</v>
      </c>
      <c r="AS104" s="284">
        <f t="shared" si="902"/>
        <v>80</v>
      </c>
      <c r="AT104" s="284">
        <f t="shared" si="902"/>
        <v>560</v>
      </c>
      <c r="AU104" s="284">
        <f t="shared" ref="AU104:AV104" si="903">AU103</f>
        <v>300</v>
      </c>
      <c r="AV104" s="284">
        <f t="shared" si="903"/>
        <v>300</v>
      </c>
      <c r="AW104" s="284"/>
      <c r="AX104" s="284">
        <f>AX103</f>
        <v>0</v>
      </c>
      <c r="AY104" s="68"/>
      <c r="AZ104" s="68"/>
      <c r="BA104" s="289"/>
      <c r="BB104" s="68"/>
      <c r="BC104" s="179"/>
      <c r="BD104" s="68"/>
      <c r="BE104" s="68"/>
      <c r="BF104" s="67" t="str">
        <f t="shared" ref="BF104:BH104" si="904" xml:space="preserve"> BF103</f>
        <v>Seilrett</v>
      </c>
      <c r="BG104" s="295">
        <f t="shared" si="904"/>
        <v>4</v>
      </c>
      <c r="BH104" s="295">
        <f t="shared" si="904"/>
        <v>56</v>
      </c>
      <c r="BI104" s="47">
        <f t="shared" si="853"/>
        <v>1</v>
      </c>
      <c r="BJ104" s="61"/>
      <c r="BK104" s="61"/>
      <c r="BM104" s="51">
        <f t="shared" ref="BM104:BR107" si="905">IF(O104=0,0,O104*BM$9)</f>
        <v>0</v>
      </c>
      <c r="BN104" s="51">
        <f t="shared" si="905"/>
        <v>0</v>
      </c>
      <c r="BO104" s="51">
        <f t="shared" si="905"/>
        <v>26.3</v>
      </c>
      <c r="BP104" s="51">
        <f t="shared" si="905"/>
        <v>0</v>
      </c>
      <c r="BQ104" s="51">
        <f t="shared" si="905"/>
        <v>0</v>
      </c>
      <c r="BR104" s="51">
        <f t="shared" si="905"/>
        <v>20.2</v>
      </c>
      <c r="BS104" s="52">
        <f>IF(COUNT(P104:T104)&gt;1,MINA(P104:T104)*BS$9,0)</f>
        <v>-6.06</v>
      </c>
      <c r="BT104" s="88">
        <f t="shared" ref="BT104:CC107" si="906">IF(U104=0,0,U104*BT$9)</f>
        <v>30.8</v>
      </c>
      <c r="BU104" s="88">
        <f t="shared" si="906"/>
        <v>0</v>
      </c>
      <c r="BV104" s="88">
        <f t="shared" si="906"/>
        <v>0</v>
      </c>
      <c r="BW104" s="88">
        <f t="shared" si="906"/>
        <v>12.6</v>
      </c>
      <c r="BX104" s="88">
        <f t="shared" si="906"/>
        <v>6.95</v>
      </c>
      <c r="BY104" s="88">
        <f t="shared" si="906"/>
        <v>0</v>
      </c>
      <c r="BZ104" s="88">
        <f t="shared" si="906"/>
        <v>2.7600000000000002</v>
      </c>
      <c r="CA104" s="88">
        <f t="shared" si="906"/>
        <v>0</v>
      </c>
      <c r="CB104" s="88">
        <f t="shared" si="906"/>
        <v>0</v>
      </c>
      <c r="CC104" s="88">
        <f t="shared" si="906"/>
        <v>0</v>
      </c>
      <c r="CD104" s="103">
        <f>SUM(BM104:CC104)</f>
        <v>93.55</v>
      </c>
      <c r="CE104" s="52"/>
      <c r="CF104" s="107">
        <f>J104</f>
        <v>126.80000000000001</v>
      </c>
      <c r="CG104" s="104">
        <f>CD104/CF104</f>
        <v>0.73777602523659302</v>
      </c>
      <c r="CH104" s="53">
        <f>Seilareal/Lwl/Lwl</f>
        <v>0.7366337001784653</v>
      </c>
      <c r="CI104" s="119">
        <f>Seilareal/Depl^0.667/K$7</f>
        <v>1.1143400208177769</v>
      </c>
      <c r="CJ104" s="53">
        <f>Seilareal/Lwl/Lwl/SApRS1</f>
        <v>1.1177085091938952</v>
      </c>
      <c r="CK104" s="209"/>
      <c r="CL104" s="209">
        <f>(ROUND(TBF/CL$6,3)*CL$6)*CL$4</f>
        <v>93.5</v>
      </c>
      <c r="CM104" s="110">
        <f t="shared" si="690"/>
        <v>0.93608071868428322</v>
      </c>
      <c r="CN104" s="64">
        <f>IF(SeilBeregnet=0,"-",(SeilBeregnet)^(1/2)*StHfaktor/(Depl+DeplTillegg/1000+Vann/1000+Diesel/1000*0.84)^(1/3))</f>
        <v>2.8929928180602107</v>
      </c>
      <c r="CO104" s="64">
        <f t="shared" si="659"/>
        <v>1.8681202899496379</v>
      </c>
      <c r="CP104" s="64">
        <f t="shared" si="660"/>
        <v>1.9031957480130537</v>
      </c>
      <c r="CQ104" s="110">
        <f t="shared" si="661"/>
        <v>0.97137615426777724</v>
      </c>
      <c r="CR104" s="172">
        <f t="shared" si="691"/>
        <v>0.93176470588235305</v>
      </c>
      <c r="CS104" s="163">
        <f>CS103</f>
        <v>0.9</v>
      </c>
      <c r="CT104" s="172">
        <f t="shared" si="692"/>
        <v>0.94175438596491234</v>
      </c>
      <c r="CU104" s="163">
        <f>CU103</f>
        <v>1.22</v>
      </c>
      <c r="CV104" s="195" t="s">
        <v>145</v>
      </c>
      <c r="CW104" s="64">
        <v>0.92</v>
      </c>
      <c r="CX104" s="64">
        <v>0.9</v>
      </c>
      <c r="CY104" s="64">
        <v>0.91</v>
      </c>
      <c r="CZ104" s="154">
        <v>0.96</v>
      </c>
      <c r="DA104" s="64">
        <f t="shared" si="854"/>
        <v>2.0866602577254052</v>
      </c>
      <c r="DB104" s="49">
        <f t="shared" si="855"/>
        <v>14.111787493082456</v>
      </c>
      <c r="DC104" s="50">
        <f t="shared" si="856"/>
        <v>0</v>
      </c>
      <c r="DE104" s="110">
        <f>IF(SeilBeregnet=0,"-",DE$7*(DG:DG+DE$6)*DL:DL*PropF+ErfaringsF+Dyp_F)</f>
        <v>0.94446014190641936</v>
      </c>
      <c r="DF104" s="144" t="str">
        <f t="shared" si="895"/>
        <v>-</v>
      </c>
      <c r="DG104" s="110">
        <f t="shared" si="858"/>
        <v>4.9133624450808755</v>
      </c>
      <c r="DH104" s="136">
        <f>IF(SeilBeregnet=0,DH103,(SeilBeregnet^0.5/(Depl^0.3333))^DH$3*DH$7)</f>
        <v>3.0007130135066351</v>
      </c>
      <c r="DI104" s="136">
        <f>IF(SeilBeregnet=0,DI103,(SeilBeregnet^0.5/Lwl)^DI$3*DI$7)</f>
        <v>0</v>
      </c>
      <c r="DJ104" s="136">
        <f>IF(SeilBeregnet=0,DJ103,(0.1*Loa/Depl^0.3333)^DJ$3*DJ$7)</f>
        <v>0</v>
      </c>
      <c r="DK104" s="136">
        <f>IF(SeilBeregnet=0,DK103,((Loa)/Bredde)^DK$3*DK$7)</f>
        <v>1.9126494315742406</v>
      </c>
      <c r="DL104" s="110">
        <f>IF(SeilBeregnet=0,DL103,(Lwl)^DL$3)</f>
        <v>1.9031957480130537</v>
      </c>
      <c r="DM104" s="136">
        <f>IF(SeilBeregnet=0,DM103,(Dypg/Loa)^DM$3*5*DM$7)</f>
        <v>2.1004201260420148</v>
      </c>
      <c r="DO104" s="110">
        <f t="shared" si="896"/>
        <v>0.96503166874668389</v>
      </c>
      <c r="DP104" s="110">
        <f t="shared" si="859"/>
        <v>0.96296546550587492</v>
      </c>
      <c r="DR104" s="110">
        <f t="shared" si="860"/>
        <v>0.97821542388296168</v>
      </c>
      <c r="DS104" s="125" t="str">
        <f t="shared" si="897"/>
        <v>-</v>
      </c>
      <c r="DT104" s="110">
        <f t="shared" si="862"/>
        <v>0.94634856942534096</v>
      </c>
      <c r="DU104" s="125" t="str">
        <f t="shared" si="898"/>
        <v>-</v>
      </c>
      <c r="DV104" s="110">
        <f t="shared" si="214"/>
        <v>3.0003969159539166</v>
      </c>
      <c r="DW104" s="110">
        <f t="shared" si="215"/>
        <v>2.3583450504696262</v>
      </c>
      <c r="DX104" s="110">
        <f>IF(SeilBeregnet=0,DX103,((Loa+Lwl)/Bredde)^DX$3)</f>
        <v>1.6253987357541337</v>
      </c>
      <c r="DZ104" s="110">
        <f t="shared" si="864"/>
        <v>0.95056823685704417</v>
      </c>
      <c r="EB104" s="110">
        <f t="shared" si="217"/>
        <v>3.0003969159539166</v>
      </c>
      <c r="EC104" s="110">
        <f>IF(SeilBeregnet=0,EC103,Lwl^EC$3)</f>
        <v>2.3585271786549109</v>
      </c>
      <c r="ED104" s="110">
        <f>IF(SeilBeregnet=0,ED103,((Loa+Lwl)/Bredde)^ED$3)</f>
        <v>1.9109607287698072</v>
      </c>
      <c r="EE104" s="110">
        <f t="shared" si="865"/>
        <v>0.94224899998760336</v>
      </c>
      <c r="EG104" s="110">
        <f>IF(SeilBeregnet=0,EG103,(EH104*EI104)^EG$3)</f>
        <v>4.8768413539520976</v>
      </c>
      <c r="EH104" s="110">
        <f t="shared" si="219"/>
        <v>3.0003969159539166</v>
      </c>
      <c r="EI104" s="110">
        <f>IF(SeilBeregnet=0,EI103,((Loa+Lwl)/Bredde)^EI$3)</f>
        <v>1.6253987357541337</v>
      </c>
      <c r="EJ104" s="110">
        <f>IF(SeilBeregnet=0,EJ103,Lwl^EJ$3)</f>
        <v>1.9031957480130537</v>
      </c>
      <c r="EK104" s="110">
        <f>IF(SeilBeregnet=0,"-",EK$7*(EK$4*EM:EM+EK$6)*EP:EP*PropF+ErfaringsF+Dyp_F)</f>
        <v>0.94195633202958728</v>
      </c>
      <c r="EM104" s="110">
        <f>IF(SeilBeregnet=0,EM103,(EN:EN*EO:EO)^EM$3)</f>
        <v>1.7652263746077295</v>
      </c>
      <c r="EN104" s="110">
        <f t="shared" si="220"/>
        <v>3.0003969159539166</v>
      </c>
      <c r="EO104" s="110">
        <f>IF(SeilBeregnet=0,EO103,((Loa+Lwl)/Bredde/6)^EO$3)</f>
        <v>1.038537313860713</v>
      </c>
      <c r="EP104" s="110">
        <f>IF(SeilBeregnet=0,EP103,(Lwl*0.7+Loa*0.3)^EP$3)</f>
        <v>1.9175033970197257</v>
      </c>
      <c r="EQ104" s="110">
        <f>IF(SeilBeregnet=0,"-",EQ$7*(ES:ES+EQ$6)*EV:EV*PropF+ErfaringsF+Dyp_F)</f>
        <v>0.92626955152748358</v>
      </c>
      <c r="ES104" s="110">
        <f>(ET:ET*EU:EU)^ES$3</f>
        <v>1.7653193571459149</v>
      </c>
      <c r="ET104" s="110">
        <f t="shared" si="221"/>
        <v>3.0007130135066351</v>
      </c>
      <c r="EU104" s="110">
        <f>IF(SeilBeregnet=0,EU103,((Loa+Lwl)/Bredde/6)^EU$3)</f>
        <v>1.038537313860713</v>
      </c>
      <c r="EV104" s="110">
        <f>IF(SeilBeregnet=0,EV103,(Lwl*0.7+Loa*0.3)^EV$3)</f>
        <v>1.9175033970197257</v>
      </c>
      <c r="EW104" s="110">
        <f>IF(SeilBeregnet=0,"-",EW$7*(EY:EY+EW$6)*FB:FB*PropF+ErfaringsF+Dyp_F)</f>
        <v>0.96553733414417531</v>
      </c>
      <c r="EX104" s="144" t="str">
        <f t="shared" si="237"/>
        <v>-</v>
      </c>
      <c r="EY104" s="110">
        <f>(EZ:EZ*FA:FA)^EY$3</f>
        <v>3.2364482845141644</v>
      </c>
      <c r="EZ104" s="136">
        <f>IF(SeilBeregnet=0,EZ103,(SeilBeregnet^0.5/(Depl^0.3333))^EZ$3)</f>
        <v>3.0007130135066351</v>
      </c>
      <c r="FA104" s="136">
        <f>IF(SeilBeregnet=0,FA103,((Loa+Lwl)/Bredde/6)^FA$3)</f>
        <v>1.0785597522810251</v>
      </c>
      <c r="FB104" s="110">
        <f>IF(SeilBeregnet=0,FB103,(Lwl*0.07+Loa*0.03)^FB$3)</f>
        <v>1.0782914013370686</v>
      </c>
      <c r="FC104" s="110">
        <f>IF(SeilBeregnet=0,"-",FC$7*(FE:FE+FC$6)*FI:FI*PropF+ErfaringsF+Dyp_F)</f>
        <v>0.9410435883780871</v>
      </c>
      <c r="FD104" s="144" t="str">
        <f t="shared" si="238"/>
        <v>-</v>
      </c>
      <c r="FE104" s="110">
        <f>(FF:FF+FG:FG+FH:FH)^FE$3+FE$7</f>
        <v>5.150567086529227</v>
      </c>
      <c r="FF104" s="136">
        <f>IF(SeilBeregnet=0,FF103,(SeilBeregnet^0.5/(Depl^0.3333))^FF$3)</f>
        <v>3.0007130135066351</v>
      </c>
      <c r="FG104" s="136">
        <f>IF(SeilBeregnet=0,FG103,(SeilBeregnet^0.5/Lwl*FG$7)^FG$3)</f>
        <v>0.73720464144835141</v>
      </c>
      <c r="FH104" s="136">
        <f>IF(SeilBeregnet=0,FH103,((Loa)/Bredde)^FH$3*FH$7)</f>
        <v>1.9126494315742406</v>
      </c>
      <c r="FI104" s="110">
        <f>IF(SeilBeregnet=0,FI103,(Lwl)^FI$3)</f>
        <v>1.9031957480130537</v>
      </c>
      <c r="FJ104" s="110">
        <f>IF(SeilBeregnet=0,"-",FJ$7*(FL:FL+FJ$6)*FO:FO*PropF+ErfaringsF+Dyp_F)</f>
        <v>0.96386249764171961</v>
      </c>
      <c r="FK104" s="144" t="str">
        <f t="shared" si="239"/>
        <v>-</v>
      </c>
      <c r="FL104" s="110">
        <f>(FM:FM*FN:FN)^FL$3</f>
        <v>5.7393120396008923</v>
      </c>
      <c r="FM104" s="136">
        <f>IF(SeilBeregnet=0,FM103,(SeilBeregnet^0.5/(Depl^0.3333))^FM$3)</f>
        <v>3.0007130135066351</v>
      </c>
      <c r="FN104" s="136">
        <f>IF(SeilBeregnet=0,FN103,(Loa/Bredde)^FN$3)</f>
        <v>1.9126494315742406</v>
      </c>
      <c r="FO104" s="110">
        <f>IF(SeilBeregnet=0,FO103,Lwl^FO$3)</f>
        <v>1.9031957480130537</v>
      </c>
      <c r="FQ104">
        <v>0.95</v>
      </c>
      <c r="FR104" s="64">
        <f t="shared" si="240"/>
        <v>1.1860199702974499</v>
      </c>
      <c r="FS104" s="479"/>
      <c r="FT104" s="18"/>
      <c r="FU104" s="481"/>
      <c r="FV104" s="504"/>
      <c r="FW104" s="18"/>
      <c r="FX104" s="18"/>
      <c r="FY104" s="18"/>
      <c r="FZ104" s="18"/>
      <c r="GB104" s="18"/>
      <c r="GC104" s="481"/>
      <c r="GD104" s="8"/>
      <c r="GE104" s="8"/>
      <c r="GF104" s="8"/>
      <c r="GG104" s="8"/>
      <c r="GI104" s="18"/>
      <c r="GJ104" s="18"/>
      <c r="GK104" s="18"/>
      <c r="GL104" s="18"/>
      <c r="GM104" s="18"/>
      <c r="GN104" s="18"/>
      <c r="GO104" s="18"/>
      <c r="GP104" s="18"/>
    </row>
    <row r="105" spans="1:198" ht="15.6" x14ac:dyDescent="0.3">
      <c r="A105" s="62" t="s">
        <v>27</v>
      </c>
      <c r="B105" s="223"/>
      <c r="C105" s="63" t="str">
        <f t="shared" ref="C105:C107" si="907">C104</f>
        <v>Gaffel</v>
      </c>
      <c r="D105" s="63"/>
      <c r="E105" s="63"/>
      <c r="F105" s="63"/>
      <c r="G105" s="56"/>
      <c r="H105" s="209">
        <f>TBFavrundet</f>
        <v>93</v>
      </c>
      <c r="I105" s="65">
        <f>COUNTA(O105:AD105)</f>
        <v>5</v>
      </c>
      <c r="J105" s="228">
        <f>SUM(O105:AD105)</f>
        <v>119.9</v>
      </c>
      <c r="K105" s="119">
        <f>Seilareal/Depl^0.667/K$7</f>
        <v>1.0537016442906266</v>
      </c>
      <c r="L105" s="119">
        <f>Seilareal/Lwl/Lwl/L$7</f>
        <v>1.0568868316431235</v>
      </c>
      <c r="M105" s="95">
        <f>RiggF</f>
        <v>0.75721434528773968</v>
      </c>
      <c r="N105" s="265">
        <f>StHfaktor</f>
        <v>0.97137615426777724</v>
      </c>
      <c r="O105" s="147"/>
      <c r="P105" s="147"/>
      <c r="Q105" s="169">
        <v>26.3</v>
      </c>
      <c r="R105" s="147"/>
      <c r="S105" s="147"/>
      <c r="T105" s="169">
        <v>20.2</v>
      </c>
      <c r="U105" s="169">
        <v>38.5</v>
      </c>
      <c r="V105" s="148"/>
      <c r="W105" s="148"/>
      <c r="X105" s="169">
        <v>21</v>
      </c>
      <c r="Y105" s="169">
        <v>13.9</v>
      </c>
      <c r="Z105" s="147"/>
      <c r="AA105" s="147"/>
      <c r="AB105" s="147"/>
      <c r="AC105" s="147"/>
      <c r="AD105" s="147"/>
      <c r="AE105" s="260">
        <f t="shared" ref="AE105" si="908">AE104</f>
        <v>10.4</v>
      </c>
      <c r="AF105" s="375">
        <f t="shared" ref="AF105:AH105" si="909" xml:space="preserve"> AF104</f>
        <v>0</v>
      </c>
      <c r="AG105" s="377"/>
      <c r="AH105" s="375">
        <f t="shared" si="909"/>
        <v>0</v>
      </c>
      <c r="AI105" s="377"/>
      <c r="AJ105" s="295" t="str">
        <f t="shared" ref="AJ105" si="910" xml:space="preserve"> AJ104</f>
        <v>RS</v>
      </c>
      <c r="AK105" s="47">
        <f>VLOOKUP(AJ105,Skrogform!$1:$1048576,3,FALSE)</f>
        <v>0.97</v>
      </c>
      <c r="AL105" s="66">
        <f t="shared" ref="AL105:AT105" si="911">AL104</f>
        <v>14.45</v>
      </c>
      <c r="AM105" s="66">
        <f t="shared" si="911"/>
        <v>13.12</v>
      </c>
      <c r="AN105" s="66">
        <f t="shared" si="911"/>
        <v>3.95</v>
      </c>
      <c r="AO105" s="66">
        <f t="shared" si="911"/>
        <v>2.5499999999999998</v>
      </c>
      <c r="AP105" s="66">
        <f t="shared" si="911"/>
        <v>33.5</v>
      </c>
      <c r="AQ105" s="66">
        <f t="shared" si="911"/>
        <v>7</v>
      </c>
      <c r="AR105" s="66">
        <f t="shared" si="911"/>
        <v>6.1</v>
      </c>
      <c r="AS105" s="284">
        <f t="shared" si="911"/>
        <v>80</v>
      </c>
      <c r="AT105" s="284">
        <f t="shared" si="911"/>
        <v>560</v>
      </c>
      <c r="AU105" s="284">
        <f t="shared" ref="AU105:AV105" si="912">AU104</f>
        <v>300</v>
      </c>
      <c r="AV105" s="284">
        <f t="shared" si="912"/>
        <v>300</v>
      </c>
      <c r="AW105" s="284"/>
      <c r="AX105" s="284">
        <f>AX104</f>
        <v>0</v>
      </c>
      <c r="AY105" s="68"/>
      <c r="AZ105" s="68"/>
      <c r="BA105" s="289"/>
      <c r="BB105" s="68"/>
      <c r="BC105" s="179"/>
      <c r="BD105" s="68"/>
      <c r="BE105" s="68"/>
      <c r="BF105" s="67" t="str">
        <f t="shared" ref="BF105:BH105" si="913" xml:space="preserve"> BF104</f>
        <v>Seilrett</v>
      </c>
      <c r="BG105" s="295">
        <f t="shared" si="913"/>
        <v>4</v>
      </c>
      <c r="BH105" s="295">
        <f t="shared" si="913"/>
        <v>56</v>
      </c>
      <c r="BI105" s="47">
        <f t="shared" si="853"/>
        <v>1</v>
      </c>
      <c r="BJ105" s="61"/>
      <c r="BK105" s="61"/>
      <c r="BM105" s="51">
        <f t="shared" si="905"/>
        <v>0</v>
      </c>
      <c r="BN105" s="51">
        <f t="shared" si="905"/>
        <v>0</v>
      </c>
      <c r="BO105" s="51">
        <f t="shared" si="905"/>
        <v>26.3</v>
      </c>
      <c r="BP105" s="51">
        <f t="shared" si="905"/>
        <v>0</v>
      </c>
      <c r="BQ105" s="51">
        <f t="shared" si="905"/>
        <v>0</v>
      </c>
      <c r="BR105" s="51">
        <f t="shared" si="905"/>
        <v>20.2</v>
      </c>
      <c r="BS105" s="52">
        <f>IF(COUNT(P105:T105)&gt;1,MINA(P105:T105)*BS$9,0)</f>
        <v>-6.06</v>
      </c>
      <c r="BT105" s="88">
        <f t="shared" si="906"/>
        <v>30.8</v>
      </c>
      <c r="BU105" s="88">
        <f t="shared" si="906"/>
        <v>0</v>
      </c>
      <c r="BV105" s="88">
        <f t="shared" si="906"/>
        <v>0</v>
      </c>
      <c r="BW105" s="88">
        <f t="shared" si="906"/>
        <v>12.6</v>
      </c>
      <c r="BX105" s="88">
        <f t="shared" si="906"/>
        <v>6.95</v>
      </c>
      <c r="BY105" s="88">
        <f t="shared" si="906"/>
        <v>0</v>
      </c>
      <c r="BZ105" s="88">
        <f t="shared" si="906"/>
        <v>0</v>
      </c>
      <c r="CA105" s="88">
        <f t="shared" si="906"/>
        <v>0</v>
      </c>
      <c r="CB105" s="88">
        <f t="shared" si="906"/>
        <v>0</v>
      </c>
      <c r="CC105" s="88">
        <f t="shared" si="906"/>
        <v>0</v>
      </c>
      <c r="CD105" s="103">
        <f>SUM(BM105:CC105)</f>
        <v>90.789999999999992</v>
      </c>
      <c r="CE105" s="52"/>
      <c r="CF105" s="107">
        <f>J105</f>
        <v>119.9</v>
      </c>
      <c r="CG105" s="104">
        <f>CD105/CF105</f>
        <v>0.75721434528773968</v>
      </c>
      <c r="CH105" s="53">
        <f>Seilareal/Lwl/Lwl</f>
        <v>0.69654874330755523</v>
      </c>
      <c r="CI105" s="119">
        <f>Seilareal/Depl^0.667/K$7</f>
        <v>1.0537016442906266</v>
      </c>
      <c r="CJ105" s="53">
        <f>Seilareal/Lwl/Lwl/SApRS1</f>
        <v>1.0568868316431235</v>
      </c>
      <c r="CK105" s="209"/>
      <c r="CL105" s="209">
        <f>(ROUND(TBF/CL$6,3)*CL$6)*CL$4</f>
        <v>93</v>
      </c>
      <c r="CM105" s="110">
        <f t="shared" si="690"/>
        <v>0.92762741008858085</v>
      </c>
      <c r="CN105" s="64">
        <f>IF(SeilBeregnet=0,"-",(SeilBeregnet)^(1/2)*StHfaktor/(Depl+DeplTillegg/1000+Vann/1000+Diesel/1000*0.84)^(1/3))</f>
        <v>2.8499974250799758</v>
      </c>
      <c r="CO105" s="64">
        <f t="shared" si="659"/>
        <v>1.8681202899496379</v>
      </c>
      <c r="CP105" s="64">
        <f t="shared" si="660"/>
        <v>1.9031957480130537</v>
      </c>
      <c r="CQ105" s="110">
        <f t="shared" si="661"/>
        <v>0.97137615426777724</v>
      </c>
      <c r="CR105" s="172" t="str">
        <f t="shared" si="691"/>
        <v>-</v>
      </c>
      <c r="CS105" s="162"/>
      <c r="CT105" s="172" t="str">
        <f t="shared" si="692"/>
        <v>-</v>
      </c>
      <c r="CU105" s="164"/>
      <c r="CV105" s="195" t="s">
        <v>145</v>
      </c>
      <c r="CW105" s="64">
        <v>0.92</v>
      </c>
      <c r="CX105" s="64">
        <v>0.89</v>
      </c>
      <c r="CY105" s="64">
        <v>0.91</v>
      </c>
      <c r="CZ105" s="154" t="s">
        <v>111</v>
      </c>
      <c r="DA105" s="64">
        <f t="shared" si="854"/>
        <v>2.0866602577254052</v>
      </c>
      <c r="DB105" s="49">
        <f t="shared" si="855"/>
        <v>14.111787493082456</v>
      </c>
      <c r="DC105" s="50">
        <f t="shared" si="856"/>
        <v>0</v>
      </c>
      <c r="DE105" s="110">
        <f>IF(SeilBeregnet=0,"-",DE$7*(DG:DG+DE$6)*DL:DL*PropF+ErfaringsF+Dyp_F)</f>
        <v>0.93588771360246081</v>
      </c>
      <c r="DF105" s="144" t="str">
        <f t="shared" ref="DF105" si="914">IF($DQ105=0,"-",(DE105-$DO105)*100)</f>
        <v>-</v>
      </c>
      <c r="DG105" s="110">
        <f t="shared" si="858"/>
        <v>4.8687661244708824</v>
      </c>
      <c r="DH105" s="136">
        <f>IF(SeilBeregnet=0,DH104,(SeilBeregnet^0.5/(Depl^0.3333))^DH$3*DH$7)</f>
        <v>2.9561166928966416</v>
      </c>
      <c r="DI105" s="136">
        <f>IF(SeilBeregnet=0,DI104,(SeilBeregnet^0.5/Lwl)^DI$3*DI$7)</f>
        <v>0</v>
      </c>
      <c r="DJ105" s="136">
        <f>IF(SeilBeregnet=0,DJ104,(0.1*Loa/Depl^0.3333)^DJ$3*DJ$7)</f>
        <v>0</v>
      </c>
      <c r="DK105" s="136">
        <f>IF(SeilBeregnet=0,DK104,((Loa)/Bredde)^DK$3*DK$7)</f>
        <v>1.9126494315742406</v>
      </c>
      <c r="DL105" s="110">
        <f>IF(SeilBeregnet=0,DL104,(Lwl)^DL$3)</f>
        <v>1.9031957480130537</v>
      </c>
      <c r="DM105" s="136">
        <f>IF(SeilBeregnet=0,DM104,(Dypg/Loa)^DM$3*5*DM$7)</f>
        <v>2.1004201260420148</v>
      </c>
      <c r="DO105" s="110">
        <f t="shared" si="896"/>
        <v>0.95631691761709381</v>
      </c>
      <c r="DP105" s="110">
        <f t="shared" si="859"/>
        <v>0.95158638933124073</v>
      </c>
      <c r="DR105" s="110">
        <f t="shared" si="860"/>
        <v>0.96866979468061465</v>
      </c>
      <c r="DS105" s="125" t="str">
        <f t="shared" ref="DS105" si="915">IF($DQ105=0,"-",DR105-$DO105)</f>
        <v>-</v>
      </c>
      <c r="DT105" s="110">
        <f t="shared" si="862"/>
        <v>0.93563687769604398</v>
      </c>
      <c r="DU105" s="125" t="str">
        <f t="shared" ref="DU105" si="916">IF($DQ105=0,"-",DT105-$DO105)</f>
        <v>-</v>
      </c>
      <c r="DV105" s="110">
        <f t="shared" si="214"/>
        <v>2.9558052931566561</v>
      </c>
      <c r="DW105" s="110">
        <f t="shared" si="215"/>
        <v>2.3583450504696262</v>
      </c>
      <c r="DX105" s="110">
        <f>IF(SeilBeregnet=0,DX104,((Loa+Lwl)/Bredde)^DX$3)</f>
        <v>1.6253987357541337</v>
      </c>
      <c r="DZ105" s="110">
        <f t="shared" si="864"/>
        <v>0.94078271841264416</v>
      </c>
      <c r="EB105" s="110">
        <f t="shared" si="217"/>
        <v>2.9558052931566561</v>
      </c>
      <c r="EC105" s="110">
        <f>IF(SeilBeregnet=0,EC104,Lwl^EC$3)</f>
        <v>2.3585271786549109</v>
      </c>
      <c r="ED105" s="110">
        <f>IF(SeilBeregnet=0,ED104,((Loa+Lwl)/Bredde)^ED$3)</f>
        <v>1.9109607287698072</v>
      </c>
      <c r="EE105" s="110">
        <f t="shared" si="865"/>
        <v>0.93231807103170194</v>
      </c>
      <c r="EG105" s="110">
        <f>IF(SeilBeregnet=0,EG104,(EH105*EI105)^EG$3)</f>
        <v>4.804362186632205</v>
      </c>
      <c r="EH105" s="110">
        <f t="shared" si="219"/>
        <v>2.9558052931566561</v>
      </c>
      <c r="EI105" s="110">
        <f>IF(SeilBeregnet=0,EI104,((Loa+Lwl)/Bredde)^EI$3)</f>
        <v>1.6253987357541337</v>
      </c>
      <c r="EJ105" s="110">
        <f>IF(SeilBeregnet=0,EJ104,Lwl^EJ$3)</f>
        <v>1.9031957480130537</v>
      </c>
      <c r="EK105" s="110">
        <f>IF(SeilBeregnet=0,"-",EK$7*(EK$4*EM:EM+EK$6)*EP:EP*PropF+ErfaringsF+Dyp_F)</f>
        <v>0.93215398233300539</v>
      </c>
      <c r="EM105" s="110">
        <f>IF(SeilBeregnet=0,EM104,(EN:EN*EO:EO)^EM$3)</f>
        <v>1.7520599560089807</v>
      </c>
      <c r="EN105" s="110">
        <f t="shared" si="220"/>
        <v>2.9558052931566561</v>
      </c>
      <c r="EO105" s="110">
        <f>IF(SeilBeregnet=0,EO104,((Loa+Lwl)/Bredde/6)^EO$3)</f>
        <v>1.038537313860713</v>
      </c>
      <c r="EP105" s="110">
        <f>IF(SeilBeregnet=0,EP104,(Lwl*0.7+Loa*0.3)^EP$3)</f>
        <v>1.9175033970197257</v>
      </c>
      <c r="EQ105" s="110">
        <f>IF(SeilBeregnet=0,"-",EQ$7*(ES:ES+EQ$6)*EV:EV*PropF+ErfaringsF+Dyp_F)</f>
        <v>0.91936071942180186</v>
      </c>
      <c r="ES105" s="110">
        <f>(ET:ET*EU:EU)^ES$3</f>
        <v>1.7521522450117435</v>
      </c>
      <c r="ET105" s="110">
        <f t="shared" si="221"/>
        <v>2.9561166928966416</v>
      </c>
      <c r="EU105" s="110">
        <f>IF(SeilBeregnet=0,EU104,((Loa+Lwl)/Bredde/6)^EU$3)</f>
        <v>1.038537313860713</v>
      </c>
      <c r="EV105" s="110">
        <f>IF(SeilBeregnet=0,EV104,(Lwl*0.7+Loa*0.3)^EV$3)</f>
        <v>1.9175033970197257</v>
      </c>
      <c r="EW105" s="110">
        <f>IF(SeilBeregnet=0,"-",EW$7*(EY:EY+EW$6)*FB:FB*PropF+ErfaringsF+Dyp_F)</f>
        <v>0.95666831706016164</v>
      </c>
      <c r="EX105" s="144" t="str">
        <f t="shared" si="237"/>
        <v>-</v>
      </c>
      <c r="EY105" s="110">
        <f>(EZ:EZ*FA:FA)^EY$3</f>
        <v>3.1883484880044048</v>
      </c>
      <c r="EZ105" s="136">
        <f>IF(SeilBeregnet=0,EZ104,(SeilBeregnet^0.5/(Depl^0.3333))^EZ$3)</f>
        <v>2.9561166928966416</v>
      </c>
      <c r="FA105" s="136">
        <f>IF(SeilBeregnet=0,FA104,((Loa+Lwl)/Bredde/6)^FA$3)</f>
        <v>1.0785597522810251</v>
      </c>
      <c r="FB105" s="110">
        <f>IF(SeilBeregnet=0,FB104,(Lwl*0.07+Loa*0.03)^FB$3)</f>
        <v>1.0782914013370686</v>
      </c>
      <c r="FC105" s="110">
        <f>IF(SeilBeregnet=0,"-",FC$7*(FE:FE+FC$6)*FI:FI*PropF+ErfaringsF+Dyp_F)</f>
        <v>0.93089375322302992</v>
      </c>
      <c r="FD105" s="144" t="str">
        <f t="shared" si="238"/>
        <v>-</v>
      </c>
      <c r="FE105" s="110">
        <f>(FF:FF+FG:FG+FH:FH)^FE$3+FE$7</f>
        <v>5.0950144983930743</v>
      </c>
      <c r="FF105" s="136">
        <f>IF(SeilBeregnet=0,FF104,(SeilBeregnet^0.5/(Depl^0.3333))^FF$3)</f>
        <v>2.9561166928966416</v>
      </c>
      <c r="FG105" s="136">
        <f>IF(SeilBeregnet=0,FG104,(SeilBeregnet^0.5/Lwl*FG$7)^FG$3)</f>
        <v>0.7262483739221921</v>
      </c>
      <c r="FH105" s="136">
        <f>IF(SeilBeregnet=0,FH104,((Loa)/Bredde)^FH$3*FH$7)</f>
        <v>1.9126494315742406</v>
      </c>
      <c r="FI105" s="110">
        <f>IF(SeilBeregnet=0,FI104,(Lwl)^FI$3)</f>
        <v>1.9031957480130537</v>
      </c>
      <c r="FJ105" s="110">
        <f>IF(SeilBeregnet=0,"-",FJ$7*(FL:FL+FJ$6)*FO:FO*PropF+ErfaringsF+Dyp_F)</f>
        <v>0.95542096688543809</v>
      </c>
      <c r="FK105" s="144" t="str">
        <f t="shared" si="239"/>
        <v>-</v>
      </c>
      <c r="FL105" s="110">
        <f>(FM:FM*FN:FN)^FL$3</f>
        <v>5.6540149123358852</v>
      </c>
      <c r="FM105" s="136">
        <f>IF(SeilBeregnet=0,FM104,(SeilBeregnet^0.5/(Depl^0.3333))^FM$3)</f>
        <v>2.9561166928966416</v>
      </c>
      <c r="FN105" s="136">
        <f>IF(SeilBeregnet=0,FN104,(Loa/Bredde)^FN$3)</f>
        <v>1.9126494315742406</v>
      </c>
      <c r="FO105" s="110">
        <f>IF(SeilBeregnet=0,FO104,Lwl^FO$3)</f>
        <v>1.9031957480130537</v>
      </c>
      <c r="FQ105">
        <v>0.95</v>
      </c>
      <c r="FR105" s="64">
        <f t="shared" si="240"/>
        <v>1.1784793053308937</v>
      </c>
      <c r="FS105" s="479"/>
      <c r="FT105" s="18"/>
      <c r="FU105" s="481"/>
      <c r="FV105" s="504"/>
      <c r="FW105" s="18"/>
      <c r="FX105" s="18"/>
      <c r="FY105" s="18"/>
      <c r="FZ105" s="18"/>
      <c r="GB105" s="18"/>
      <c r="GC105" s="481"/>
      <c r="GD105" s="8"/>
      <c r="GE105" s="8"/>
      <c r="GF105" s="8"/>
      <c r="GG105" s="8"/>
      <c r="GI105" s="18"/>
      <c r="GJ105" s="18"/>
      <c r="GK105" s="18"/>
      <c r="GL105" s="18"/>
      <c r="GM105" s="18"/>
      <c r="GN105" s="18"/>
      <c r="GO105" s="18"/>
      <c r="GP105" s="18"/>
    </row>
    <row r="106" spans="1:198" ht="15.6" x14ac:dyDescent="0.3">
      <c r="A106" s="62" t="s">
        <v>28</v>
      </c>
      <c r="B106" s="223"/>
      <c r="C106" s="63" t="str">
        <f t="shared" si="907"/>
        <v>Gaffel</v>
      </c>
      <c r="D106" s="63"/>
      <c r="E106" s="63"/>
      <c r="F106" s="63"/>
      <c r="G106" s="56"/>
      <c r="H106" s="209">
        <f>TBFavrundet</f>
        <v>90.5</v>
      </c>
      <c r="I106" s="65">
        <f>COUNTA(O106:AD106)</f>
        <v>4</v>
      </c>
      <c r="J106" s="228">
        <f>SUM(O106:AD106)</f>
        <v>106</v>
      </c>
      <c r="K106" s="119">
        <f>Seilareal/Depl^0.667/K$7</f>
        <v>0.93154607418520796</v>
      </c>
      <c r="L106" s="119">
        <f>Seilareal/Lwl/Lwl/L$7</f>
        <v>0.93436200295388716</v>
      </c>
      <c r="M106" s="95">
        <f>RiggF</f>
        <v>0.79094339622641496</v>
      </c>
      <c r="N106" s="265">
        <f>StHfaktor</f>
        <v>0.97137615426777724</v>
      </c>
      <c r="O106" s="147"/>
      <c r="P106" s="147"/>
      <c r="Q106" s="169">
        <v>26.3</v>
      </c>
      <c r="R106" s="147"/>
      <c r="S106" s="147"/>
      <c r="T106" s="169">
        <v>20.2</v>
      </c>
      <c r="U106" s="169">
        <v>38.5</v>
      </c>
      <c r="V106" s="148"/>
      <c r="W106" s="148"/>
      <c r="X106" s="169">
        <v>21</v>
      </c>
      <c r="Y106" s="147"/>
      <c r="Z106" s="147"/>
      <c r="AA106" s="147"/>
      <c r="AB106" s="147"/>
      <c r="AC106" s="147"/>
      <c r="AD106" s="147"/>
      <c r="AE106" s="260">
        <f t="shared" ref="AE106" si="917">AE105</f>
        <v>10.4</v>
      </c>
      <c r="AF106" s="375">
        <f t="shared" ref="AF106:AH107" si="918" xml:space="preserve"> AF105</f>
        <v>0</v>
      </c>
      <c r="AG106" s="377"/>
      <c r="AH106" s="375">
        <f t="shared" si="918"/>
        <v>0</v>
      </c>
      <c r="AI106" s="377"/>
      <c r="AJ106" s="295" t="str">
        <f t="shared" ref="AJ106" si="919" xml:space="preserve"> AJ105</f>
        <v>RS</v>
      </c>
      <c r="AK106" s="47">
        <f>VLOOKUP(AJ106,Skrogform!$1:$1048576,3,FALSE)</f>
        <v>0.97</v>
      </c>
      <c r="AL106" s="66">
        <f t="shared" ref="AL106:AT106" si="920">AL105</f>
        <v>14.45</v>
      </c>
      <c r="AM106" s="66">
        <f t="shared" si="920"/>
        <v>13.12</v>
      </c>
      <c r="AN106" s="66">
        <f t="shared" si="920"/>
        <v>3.95</v>
      </c>
      <c r="AO106" s="66">
        <f t="shared" si="920"/>
        <v>2.5499999999999998</v>
      </c>
      <c r="AP106" s="66">
        <f t="shared" si="920"/>
        <v>33.5</v>
      </c>
      <c r="AQ106" s="66">
        <f t="shared" si="920"/>
        <v>7</v>
      </c>
      <c r="AR106" s="66">
        <f t="shared" si="920"/>
        <v>6.1</v>
      </c>
      <c r="AS106" s="284">
        <f t="shared" si="920"/>
        <v>80</v>
      </c>
      <c r="AT106" s="284">
        <f t="shared" si="920"/>
        <v>560</v>
      </c>
      <c r="AU106" s="284">
        <f t="shared" ref="AU106:AV106" si="921">AU105</f>
        <v>300</v>
      </c>
      <c r="AV106" s="284">
        <f t="shared" si="921"/>
        <v>300</v>
      </c>
      <c r="AW106" s="284"/>
      <c r="AX106" s="284">
        <f>AX105</f>
        <v>0</v>
      </c>
      <c r="AY106" s="68"/>
      <c r="AZ106" s="68"/>
      <c r="BA106" s="289"/>
      <c r="BB106" s="68"/>
      <c r="BC106" s="179"/>
      <c r="BD106" s="68"/>
      <c r="BE106" s="68"/>
      <c r="BF106" s="67" t="str">
        <f t="shared" ref="BF106:BH106" si="922" xml:space="preserve"> BF105</f>
        <v>Seilrett</v>
      </c>
      <c r="BG106" s="295">
        <f t="shared" si="922"/>
        <v>4</v>
      </c>
      <c r="BH106" s="295">
        <f t="shared" si="922"/>
        <v>56</v>
      </c>
      <c r="BI106" s="47">
        <f t="shared" si="853"/>
        <v>1</v>
      </c>
      <c r="BJ106" s="61"/>
      <c r="BK106" s="61"/>
      <c r="BM106" s="51">
        <f t="shared" si="905"/>
        <v>0</v>
      </c>
      <c r="BN106" s="51">
        <f t="shared" si="905"/>
        <v>0</v>
      </c>
      <c r="BO106" s="51">
        <f t="shared" si="905"/>
        <v>26.3</v>
      </c>
      <c r="BP106" s="51">
        <f t="shared" si="905"/>
        <v>0</v>
      </c>
      <c r="BQ106" s="51">
        <f t="shared" si="905"/>
        <v>0</v>
      </c>
      <c r="BR106" s="51">
        <f t="shared" si="905"/>
        <v>20.2</v>
      </c>
      <c r="BS106" s="52">
        <f>IF(COUNT(P106:T106)&gt;1,MINA(P106:T106)*BS$9,0)</f>
        <v>-6.06</v>
      </c>
      <c r="BT106" s="88">
        <f t="shared" si="906"/>
        <v>30.8</v>
      </c>
      <c r="BU106" s="88">
        <f t="shared" si="906"/>
        <v>0</v>
      </c>
      <c r="BV106" s="88">
        <f t="shared" si="906"/>
        <v>0</v>
      </c>
      <c r="BW106" s="88">
        <f t="shared" si="906"/>
        <v>12.6</v>
      </c>
      <c r="BX106" s="88">
        <f t="shared" si="906"/>
        <v>0</v>
      </c>
      <c r="BY106" s="88">
        <f t="shared" si="906"/>
        <v>0</v>
      </c>
      <c r="BZ106" s="88">
        <f t="shared" si="906"/>
        <v>0</v>
      </c>
      <c r="CA106" s="88">
        <f t="shared" si="906"/>
        <v>0</v>
      </c>
      <c r="CB106" s="88">
        <f t="shared" si="906"/>
        <v>0</v>
      </c>
      <c r="CC106" s="88">
        <f t="shared" si="906"/>
        <v>0</v>
      </c>
      <c r="CD106" s="103">
        <f>SUM(BM106:CC106)</f>
        <v>83.839999999999989</v>
      </c>
      <c r="CE106" s="52"/>
      <c r="CF106" s="107">
        <f>J106</f>
        <v>106</v>
      </c>
      <c r="CG106" s="104">
        <f>CD106/CF106</f>
        <v>0.79094339622641496</v>
      </c>
      <c r="CH106" s="53">
        <f>Seilareal/Lwl/Lwl</f>
        <v>0.61579788816180858</v>
      </c>
      <c r="CI106" s="119">
        <f>Seilareal/Depl^0.667/K$7</f>
        <v>0.93154607418520796</v>
      </c>
      <c r="CJ106" s="53">
        <f>Seilareal/Lwl/Lwl/SApRS1</f>
        <v>0.93436200295388716</v>
      </c>
      <c r="CK106" s="209"/>
      <c r="CL106" s="209">
        <f>(ROUND(TBF/CL$6,3)*CL$6)*CL$4</f>
        <v>90.5</v>
      </c>
      <c r="CM106" s="110">
        <f t="shared" si="690"/>
        <v>0.90575348719100079</v>
      </c>
      <c r="CN106" s="64">
        <f>IF(SeilBeregnet=0,"-",(SeilBeregnet)^(1/2)*StHfaktor/(Depl+DeplTillegg/1000+Vann/1000+Diesel/1000*0.84)^(1/3))</f>
        <v>2.7387418261208958</v>
      </c>
      <c r="CO106" s="64">
        <f t="shared" si="659"/>
        <v>1.8681202899496379</v>
      </c>
      <c r="CP106" s="64">
        <f t="shared" si="660"/>
        <v>1.9031957480130537</v>
      </c>
      <c r="CQ106" s="110">
        <f t="shared" si="661"/>
        <v>0.97137615426777724</v>
      </c>
      <c r="CR106" s="172" t="str">
        <f t="shared" ref="CR106:CR107" si="923">IF(CS106=0,"-",IF(CH106="TBF","-",CR$7*CS106))</f>
        <v>-</v>
      </c>
      <c r="CS106" s="162"/>
      <c r="CT106" s="172" t="str">
        <f t="shared" ref="CT106:CT107" si="924">IF(CU106=0,"-",IF(CL106="TBF","-",CT$7*CU106))</f>
        <v>-</v>
      </c>
      <c r="CU106" s="164"/>
      <c r="CV106" s="195" t="s">
        <v>145</v>
      </c>
      <c r="CW106" s="64">
        <v>0.9</v>
      </c>
      <c r="CX106" s="64">
        <v>0.88</v>
      </c>
      <c r="CY106" s="64">
        <v>0.88</v>
      </c>
      <c r="CZ106" s="154" t="s">
        <v>111</v>
      </c>
      <c r="DA106" s="64">
        <f t="shared" si="854"/>
        <v>2.0866602577254052</v>
      </c>
      <c r="DB106" s="49">
        <f t="shared" si="855"/>
        <v>14.111787493082456</v>
      </c>
      <c r="DC106" s="50">
        <f t="shared" si="856"/>
        <v>0</v>
      </c>
      <c r="DE106" s="110">
        <f>IF(SeilBeregnet=0,"-",DE$7*(DG:DG+DE$6)*DL:DL*PropF+ErfaringsF+Dyp_F)</f>
        <v>0.91370555455278946</v>
      </c>
      <c r="DF106" s="144" t="str">
        <f t="shared" si="895"/>
        <v>-</v>
      </c>
      <c r="DG106" s="110">
        <f t="shared" si="858"/>
        <v>4.7533679383648293</v>
      </c>
      <c r="DH106" s="136">
        <f>IF(SeilBeregnet=0,DH105,(SeilBeregnet^0.5/(Depl^0.3333))^DH$3*DH$7)</f>
        <v>2.8407185067905885</v>
      </c>
      <c r="DI106" s="136">
        <f>IF(SeilBeregnet=0,DI105,(SeilBeregnet^0.5/Lwl)^DI$3*DI$7)</f>
        <v>0</v>
      </c>
      <c r="DJ106" s="136">
        <f>IF(SeilBeregnet=0,DJ105,(0.1*Loa/Depl^0.3333)^DJ$3*DJ$7)</f>
        <v>0</v>
      </c>
      <c r="DK106" s="136">
        <f>IF(SeilBeregnet=0,DK105,((Loa)/Bredde)^DK$3*DK$7)</f>
        <v>1.9126494315742406</v>
      </c>
      <c r="DL106" s="110">
        <f>IF(SeilBeregnet=0,DL105,(Lwl)^DL$3)</f>
        <v>1.9031957480130537</v>
      </c>
      <c r="DM106" s="136">
        <f>IF(SeilBeregnet=0,DM105,(Dypg/Loa)^DM$3*5*DM$7)</f>
        <v>2.1004201260420148</v>
      </c>
      <c r="DO106" s="110">
        <f t="shared" si="896"/>
        <v>0.93376648164020704</v>
      </c>
      <c r="DP106" s="110">
        <f t="shared" si="859"/>
        <v>0.92214170124589401</v>
      </c>
      <c r="DR106" s="110">
        <f t="shared" si="860"/>
        <v>0.94396936468718173</v>
      </c>
      <c r="DS106" s="125" t="str">
        <f t="shared" si="897"/>
        <v>-</v>
      </c>
      <c r="DT106" s="110">
        <f t="shared" si="862"/>
        <v>0.90791912477875358</v>
      </c>
      <c r="DU106" s="125" t="str">
        <f t="shared" si="898"/>
        <v>-</v>
      </c>
      <c r="DV106" s="110">
        <f t="shared" si="214"/>
        <v>2.8404192631895118</v>
      </c>
      <c r="DW106" s="110">
        <f t="shared" si="215"/>
        <v>2.3583450504696262</v>
      </c>
      <c r="DX106" s="110">
        <f>IF(SeilBeregnet=0,DX105,((Loa+Lwl)/Bredde)^DX$3)</f>
        <v>1.6253987357541337</v>
      </c>
      <c r="DZ106" s="110">
        <f t="shared" si="864"/>
        <v>0.91546154699883009</v>
      </c>
      <c r="EB106" s="110">
        <f t="shared" si="217"/>
        <v>2.8404192631895118</v>
      </c>
      <c r="EC106" s="110">
        <f>IF(SeilBeregnet=0,EC105,Lwl^EC$3)</f>
        <v>2.3585271786549109</v>
      </c>
      <c r="ED106" s="110">
        <f>IF(SeilBeregnet=0,ED105,((Loa+Lwl)/Bredde)^ED$3)</f>
        <v>1.9109607287698072</v>
      </c>
      <c r="EE106" s="110">
        <f t="shared" si="865"/>
        <v>0.90662063294300321</v>
      </c>
      <c r="EG106" s="110">
        <f>IF(SeilBeregnet=0,EG105,(EH106*EI106)^EG$3)</f>
        <v>4.6168138793999205</v>
      </c>
      <c r="EH106" s="110">
        <f t="shared" si="219"/>
        <v>2.8404192631895118</v>
      </c>
      <c r="EI106" s="110">
        <f>IF(SeilBeregnet=0,EI105,((Loa+Lwl)/Bredde)^EI$3)</f>
        <v>1.6253987357541337</v>
      </c>
      <c r="EJ106" s="110">
        <f>IF(SeilBeregnet=0,EJ105,Lwl^EJ$3)</f>
        <v>1.9031957480130537</v>
      </c>
      <c r="EK106" s="110">
        <f>IF(SeilBeregnet=0,"-",EK$7*(EK$4*EM:EM+EK$6)*EP:EP*PropF+ErfaringsF+Dyp_F)</f>
        <v>0.90644050958537992</v>
      </c>
      <c r="EM106" s="110">
        <f>IF(SeilBeregnet=0,EM105,(EN:EN*EO:EO)^EM$3)</f>
        <v>1.7175218752118011</v>
      </c>
      <c r="EN106" s="110">
        <f t="shared" si="220"/>
        <v>2.8404192631895118</v>
      </c>
      <c r="EO106" s="110">
        <f>IF(SeilBeregnet=0,EO105,((Loa+Lwl)/Bredde/6)^EO$3)</f>
        <v>1.038537313860713</v>
      </c>
      <c r="EP106" s="110">
        <f>IF(SeilBeregnet=0,EP105,(Lwl*0.7+Loa*0.3)^EP$3)</f>
        <v>1.9175033970197257</v>
      </c>
      <c r="EQ106" s="110">
        <f>IF(SeilBeregnet=0,"-",EQ$7*(ES:ES+EQ$6)*EV:EV*PropF+ErfaringsF+Dyp_F)</f>
        <v>0.90123750697108551</v>
      </c>
      <c r="ES106" s="110">
        <f>(ET:ET*EU:EU)^ES$3</f>
        <v>1.7176123449360492</v>
      </c>
      <c r="ET106" s="110">
        <f t="shared" si="221"/>
        <v>2.8407185067905885</v>
      </c>
      <c r="EU106" s="110">
        <f>IF(SeilBeregnet=0,EU105,((Loa+Lwl)/Bredde/6)^EU$3)</f>
        <v>1.038537313860713</v>
      </c>
      <c r="EV106" s="110">
        <f>IF(SeilBeregnet=0,EV105,(Lwl*0.7+Loa*0.3)^EV$3)</f>
        <v>1.9175033970197257</v>
      </c>
      <c r="EW106" s="110">
        <f>IF(SeilBeregnet=0,"-",EW$7*(EY:EY+EW$6)*FB:FB*PropF+ErfaringsF+Dyp_F)</f>
        <v>0.93371869991597412</v>
      </c>
      <c r="EX106" s="144" t="str">
        <f t="shared" si="237"/>
        <v>-</v>
      </c>
      <c r="EY106" s="110">
        <f>(EZ:EZ*FA:FA)^EY$3</f>
        <v>3.0638846489841804</v>
      </c>
      <c r="EZ106" s="136">
        <f>IF(SeilBeregnet=0,EZ105,(SeilBeregnet^0.5/(Depl^0.3333))^EZ$3)</f>
        <v>2.8407185067905885</v>
      </c>
      <c r="FA106" s="136">
        <f>IF(SeilBeregnet=0,FA105,((Loa+Lwl)/Bredde/6)^FA$3)</f>
        <v>1.0785597522810251</v>
      </c>
      <c r="FB106" s="110">
        <f>IF(SeilBeregnet=0,FB105,(Lwl*0.07+Loa*0.03)^FB$3)</f>
        <v>1.0782914013370686</v>
      </c>
      <c r="FC106" s="110">
        <f>IF(SeilBeregnet=0,"-",FC$7*(FE:FE+FC$6)*FI:FI*PropF+ErfaringsF+Dyp_F)</f>
        <v>0.90462986978717108</v>
      </c>
      <c r="FD106" s="144" t="str">
        <f t="shared" si="238"/>
        <v>-</v>
      </c>
      <c r="FE106" s="110">
        <f>(FF:FF+FG:FG+FH:FH)^FE$3+FE$7</f>
        <v>4.9512656909416339</v>
      </c>
      <c r="FF106" s="136">
        <f>IF(SeilBeregnet=0,FF105,(SeilBeregnet^0.5/(Depl^0.3333))^FF$3)</f>
        <v>2.8407185067905885</v>
      </c>
      <c r="FG106" s="136">
        <f>IF(SeilBeregnet=0,FG105,(SeilBeregnet^0.5/Lwl*FG$7)^FG$3)</f>
        <v>0.69789775257680475</v>
      </c>
      <c r="FH106" s="136">
        <f>IF(SeilBeregnet=0,FH105,((Loa)/Bredde)^FH$3*FH$7)</f>
        <v>1.9126494315742406</v>
      </c>
      <c r="FI106" s="110">
        <f>IF(SeilBeregnet=0,FI105,(Lwl)^FI$3)</f>
        <v>1.9031957480130537</v>
      </c>
      <c r="FJ106" s="110">
        <f>IF(SeilBeregnet=0,"-",FJ$7*(FL:FL+FJ$6)*FO:FO*PropF+ErfaringsF+Dyp_F)</f>
        <v>0.93357752052239795</v>
      </c>
      <c r="FK106" s="144" t="str">
        <f t="shared" si="239"/>
        <v>-</v>
      </c>
      <c r="FL106" s="110">
        <f>(FM:FM*FN:FN)^FL$3</f>
        <v>5.4332986372754446</v>
      </c>
      <c r="FM106" s="136">
        <f>IF(SeilBeregnet=0,FM105,(SeilBeregnet^0.5/(Depl^0.3333))^FM$3)</f>
        <v>2.8407185067905885</v>
      </c>
      <c r="FN106" s="136">
        <f>IF(SeilBeregnet=0,FN105,(Loa/Bredde)^FN$3)</f>
        <v>1.9126494315742406</v>
      </c>
      <c r="FO106" s="110">
        <f>IF(SeilBeregnet=0,FO105,Lwl^FO$3)</f>
        <v>1.9031957480130537</v>
      </c>
      <c r="FQ106">
        <v>0.95</v>
      </c>
      <c r="FR106" s="64">
        <f t="shared" si="240"/>
        <v>1.1589669543729755</v>
      </c>
      <c r="FS106" s="479"/>
      <c r="FT106" s="18"/>
      <c r="FU106" s="481"/>
      <c r="FV106" s="504"/>
      <c r="FW106" s="18"/>
      <c r="FX106" s="18"/>
      <c r="FY106" s="18"/>
      <c r="FZ106" s="18"/>
      <c r="GB106" s="18"/>
      <c r="GC106" s="481"/>
      <c r="GD106" s="8"/>
      <c r="GE106" s="8"/>
      <c r="GF106" s="8"/>
      <c r="GG106" s="8"/>
      <c r="GI106" s="18"/>
      <c r="GJ106" s="18"/>
      <c r="GK106" s="18"/>
      <c r="GL106" s="18"/>
      <c r="GM106" s="18"/>
      <c r="GN106" s="18"/>
      <c r="GO106" s="18"/>
      <c r="GP106" s="18"/>
    </row>
    <row r="107" spans="1:198" ht="15.6" x14ac:dyDescent="0.3">
      <c r="A107" s="62" t="s">
        <v>161</v>
      </c>
      <c r="B107" s="223"/>
      <c r="C107" s="63" t="str">
        <f t="shared" si="907"/>
        <v>Gaffel</v>
      </c>
      <c r="D107" s="63"/>
      <c r="E107" s="63"/>
      <c r="F107" s="63"/>
      <c r="G107" s="56"/>
      <c r="H107" s="209">
        <f>TBFavrundet</f>
        <v>87.5</v>
      </c>
      <c r="I107" s="65">
        <f>COUNTA(O107:AD107)</f>
        <v>4</v>
      </c>
      <c r="J107" s="228">
        <f>SUM(O107:AD107)</f>
        <v>95.5</v>
      </c>
      <c r="K107" s="119">
        <f>Seilareal/Depl^0.667/K$7</f>
        <v>0.83927028381780522</v>
      </c>
      <c r="L107" s="119">
        <f>Seilareal/Lwl/Lwl/L$7</f>
        <v>0.84180727624619067</v>
      </c>
      <c r="M107" s="95">
        <f>RiggF</f>
        <v>0.78178010471204185</v>
      </c>
      <c r="N107" s="265">
        <f>StHfaktor</f>
        <v>0.97137615426777724</v>
      </c>
      <c r="O107" s="147"/>
      <c r="P107" s="147"/>
      <c r="Q107" s="147"/>
      <c r="R107" s="169">
        <v>15.8</v>
      </c>
      <c r="S107" s="147"/>
      <c r="T107" s="169">
        <v>20.2</v>
      </c>
      <c r="U107" s="169">
        <v>38.5</v>
      </c>
      <c r="V107" s="148"/>
      <c r="W107" s="148"/>
      <c r="X107" s="169">
        <v>21</v>
      </c>
      <c r="Y107" s="147"/>
      <c r="Z107" s="147"/>
      <c r="AA107" s="147"/>
      <c r="AB107" s="147"/>
      <c r="AC107" s="147"/>
      <c r="AD107" s="147"/>
      <c r="AE107" s="260">
        <f t="shared" ref="AE107" si="925">AE106</f>
        <v>10.4</v>
      </c>
      <c r="AF107" s="375">
        <f t="shared" si="918"/>
        <v>0</v>
      </c>
      <c r="AG107" s="377"/>
      <c r="AH107" s="375">
        <f t="shared" si="918"/>
        <v>0</v>
      </c>
      <c r="AI107" s="377"/>
      <c r="AJ107" s="295" t="str">
        <f t="shared" ref="AJ107" si="926" xml:space="preserve"> AJ106</f>
        <v>RS</v>
      </c>
      <c r="AK107" s="47">
        <f>VLOOKUP(AJ107,Skrogform!$1:$1048576,3,FALSE)</f>
        <v>0.97</v>
      </c>
      <c r="AL107" s="66">
        <f t="shared" ref="AL107:AT107" si="927">AL106</f>
        <v>14.45</v>
      </c>
      <c r="AM107" s="66">
        <f t="shared" si="927"/>
        <v>13.12</v>
      </c>
      <c r="AN107" s="66">
        <f t="shared" si="927"/>
        <v>3.95</v>
      </c>
      <c r="AO107" s="66">
        <f t="shared" si="927"/>
        <v>2.5499999999999998</v>
      </c>
      <c r="AP107" s="66">
        <f t="shared" si="927"/>
        <v>33.5</v>
      </c>
      <c r="AQ107" s="66">
        <f t="shared" si="927"/>
        <v>7</v>
      </c>
      <c r="AR107" s="66">
        <f t="shared" si="927"/>
        <v>6.1</v>
      </c>
      <c r="AS107" s="284">
        <f t="shared" si="927"/>
        <v>80</v>
      </c>
      <c r="AT107" s="284">
        <f t="shared" si="927"/>
        <v>560</v>
      </c>
      <c r="AU107" s="284">
        <f t="shared" ref="AU107:AV107" si="928">AU106</f>
        <v>300</v>
      </c>
      <c r="AV107" s="284">
        <f t="shared" si="928"/>
        <v>300</v>
      </c>
      <c r="AW107" s="284"/>
      <c r="AX107" s="284">
        <f>AX106</f>
        <v>0</v>
      </c>
      <c r="AY107" s="68"/>
      <c r="AZ107" s="68"/>
      <c r="BA107" s="289"/>
      <c r="BB107" s="68"/>
      <c r="BC107" s="179"/>
      <c r="BD107" s="68"/>
      <c r="BE107" s="68"/>
      <c r="BF107" s="67" t="str">
        <f t="shared" ref="BF107:BH107" si="929" xml:space="preserve"> BF106</f>
        <v>Seilrett</v>
      </c>
      <c r="BG107" s="295">
        <f t="shared" si="929"/>
        <v>4</v>
      </c>
      <c r="BH107" s="295">
        <f t="shared" si="929"/>
        <v>56</v>
      </c>
      <c r="BI107" s="47">
        <f t="shared" si="853"/>
        <v>1</v>
      </c>
      <c r="BJ107" s="61"/>
      <c r="BK107" s="61"/>
      <c r="BM107" s="51">
        <f t="shared" si="905"/>
        <v>0</v>
      </c>
      <c r="BN107" s="51">
        <f t="shared" si="905"/>
        <v>0</v>
      </c>
      <c r="BO107" s="51">
        <f t="shared" si="905"/>
        <v>0</v>
      </c>
      <c r="BP107" s="51">
        <f t="shared" si="905"/>
        <v>15.8</v>
      </c>
      <c r="BQ107" s="51">
        <f t="shared" si="905"/>
        <v>0</v>
      </c>
      <c r="BR107" s="51">
        <f t="shared" si="905"/>
        <v>20.2</v>
      </c>
      <c r="BS107" s="52">
        <f>IF(COUNT(P107:T107)&gt;1,MINA(P107:T107)*BS$9,0)</f>
        <v>-4.74</v>
      </c>
      <c r="BT107" s="88">
        <f t="shared" si="906"/>
        <v>30.8</v>
      </c>
      <c r="BU107" s="88">
        <f t="shared" si="906"/>
        <v>0</v>
      </c>
      <c r="BV107" s="88">
        <f t="shared" si="906"/>
        <v>0</v>
      </c>
      <c r="BW107" s="88">
        <f t="shared" si="906"/>
        <v>12.6</v>
      </c>
      <c r="BX107" s="88">
        <f t="shared" si="906"/>
        <v>0</v>
      </c>
      <c r="BY107" s="88">
        <f t="shared" si="906"/>
        <v>0</v>
      </c>
      <c r="BZ107" s="88">
        <f t="shared" si="906"/>
        <v>0</v>
      </c>
      <c r="CA107" s="88">
        <f t="shared" si="906"/>
        <v>0</v>
      </c>
      <c r="CB107" s="88">
        <f t="shared" si="906"/>
        <v>0</v>
      </c>
      <c r="CC107" s="88">
        <f t="shared" si="906"/>
        <v>0</v>
      </c>
      <c r="CD107" s="103">
        <f>SUM(BM107:CC107)</f>
        <v>74.66</v>
      </c>
      <c r="CE107" s="52"/>
      <c r="CF107" s="107">
        <f>J107</f>
        <v>95.5</v>
      </c>
      <c r="CG107" s="104">
        <f>CD107/CF107</f>
        <v>0.78178010471204185</v>
      </c>
      <c r="CH107" s="53">
        <f>Seilareal/Lwl/Lwl</f>
        <v>0.55479904074955388</v>
      </c>
      <c r="CI107" s="119">
        <f>Seilareal/Depl^0.667/K$7</f>
        <v>0.83927028381780522</v>
      </c>
      <c r="CJ107" s="53">
        <f>Seilareal/Lwl/Lwl/SApRS1</f>
        <v>0.84180727624619067</v>
      </c>
      <c r="CK107" s="209"/>
      <c r="CL107" s="209">
        <f>(ROUND(TBF/CL$6,3)*CL$6)*CL$4</f>
        <v>87.5</v>
      </c>
      <c r="CM107" s="110">
        <f t="shared" si="690"/>
        <v>0.87541976921295384</v>
      </c>
      <c r="CN107" s="64">
        <f>IF(SeilBeregnet=0,"-",(SeilBeregnet)^(1/2)*StHfaktor/(Depl+DeplTillegg/1000+Vann/1000+Diesel/1000*0.84)^(1/3))</f>
        <v>2.5844578424886433</v>
      </c>
      <c r="CO107" s="64">
        <f t="shared" si="659"/>
        <v>1.8681202899496379</v>
      </c>
      <c r="CP107" s="64">
        <f t="shared" si="660"/>
        <v>1.9031957480130537</v>
      </c>
      <c r="CQ107" s="110">
        <f t="shared" si="661"/>
        <v>0.97137615426777724</v>
      </c>
      <c r="CR107" s="172" t="str">
        <f t="shared" si="923"/>
        <v>-</v>
      </c>
      <c r="CS107" s="162"/>
      <c r="CT107" s="172" t="str">
        <f t="shared" si="924"/>
        <v>-</v>
      </c>
      <c r="CU107" s="164"/>
      <c r="CV107" s="195" t="s">
        <v>145</v>
      </c>
      <c r="CW107" s="64">
        <v>0.86</v>
      </c>
      <c r="CX107" s="64">
        <v>0.86</v>
      </c>
      <c r="CY107" s="64">
        <v>0.85</v>
      </c>
      <c r="CZ107" s="154" t="s">
        <v>111</v>
      </c>
      <c r="DA107" s="64">
        <f t="shared" si="854"/>
        <v>2.0866602577254052</v>
      </c>
      <c r="DB107" s="49">
        <f t="shared" si="855"/>
        <v>14.111787493082456</v>
      </c>
      <c r="DC107" s="50">
        <f t="shared" si="856"/>
        <v>0</v>
      </c>
      <c r="DE107" s="110">
        <f>IF(SeilBeregnet=0,"-",DE$7*(DG:DG+DE$6)*DL:DL*PropF+ErfaringsF+Dyp_F)</f>
        <v>0.88294438931016395</v>
      </c>
      <c r="DF107" s="144" t="str">
        <f t="shared" si="895"/>
        <v>-</v>
      </c>
      <c r="DG107" s="110">
        <f t="shared" si="858"/>
        <v>4.5933392115146301</v>
      </c>
      <c r="DH107" s="136">
        <f>IF(SeilBeregnet=0,DH106,(SeilBeregnet^0.5/(Depl^0.3333))^DH$3*DH$7)</f>
        <v>2.6806897799403897</v>
      </c>
      <c r="DI107" s="136">
        <f>IF(SeilBeregnet=0,DI106,(SeilBeregnet^0.5/Lwl)^DI$3*DI$7)</f>
        <v>0</v>
      </c>
      <c r="DJ107" s="136">
        <f>IF(SeilBeregnet=0,DJ106,(0.1*Loa/Depl^0.3333)^DJ$3*DJ$7)</f>
        <v>0</v>
      </c>
      <c r="DK107" s="136">
        <f>IF(SeilBeregnet=0,DK106,((Loa)/Bredde)^DK$3*DK$7)</f>
        <v>1.9126494315742406</v>
      </c>
      <c r="DL107" s="110">
        <f>IF(SeilBeregnet=0,DL106,(Lwl)^DL$3)</f>
        <v>1.9031957480130537</v>
      </c>
      <c r="DM107" s="136">
        <f>IF(SeilBeregnet=0,DM106,(Dypg/Loa)^DM$3*5*DM$7)</f>
        <v>2.1004201260420148</v>
      </c>
      <c r="DO107" s="110">
        <f t="shared" si="896"/>
        <v>0.90249460743603493</v>
      </c>
      <c r="DP107" s="110">
        <f t="shared" si="859"/>
        <v>0.88130920546932379</v>
      </c>
      <c r="DR107" s="110">
        <f t="shared" si="860"/>
        <v>0.90971598083530025</v>
      </c>
      <c r="DS107" s="125" t="str">
        <f t="shared" si="897"/>
        <v>-</v>
      </c>
      <c r="DT107" s="110">
        <f t="shared" si="862"/>
        <v>0.86948146072027399</v>
      </c>
      <c r="DU107" s="125" t="str">
        <f t="shared" si="898"/>
        <v>-</v>
      </c>
      <c r="DV107" s="110">
        <f t="shared" si="214"/>
        <v>2.6804073938957318</v>
      </c>
      <c r="DW107" s="110">
        <f t="shared" si="215"/>
        <v>2.3583450504696262</v>
      </c>
      <c r="DX107" s="110">
        <f>IF(SeilBeregnet=0,DX106,((Loa+Lwl)/Bredde)^DX$3)</f>
        <v>1.6253987357541337</v>
      </c>
      <c r="DZ107" s="110">
        <f t="shared" si="864"/>
        <v>0.88034734841009021</v>
      </c>
      <c r="EB107" s="110">
        <f t="shared" si="217"/>
        <v>2.6804073938957318</v>
      </c>
      <c r="EC107" s="110">
        <f>IF(SeilBeregnet=0,EC106,Lwl^EC$3)</f>
        <v>2.3585271786549109</v>
      </c>
      <c r="ED107" s="110">
        <f>IF(SeilBeregnet=0,ED106,((Loa+Lwl)/Bredde)^ED$3)</f>
        <v>1.9109607287698072</v>
      </c>
      <c r="EE107" s="110">
        <f t="shared" si="865"/>
        <v>0.87098464558990041</v>
      </c>
      <c r="EG107" s="110">
        <f>IF(SeilBeregnet=0,EG106,(EH107*EI107)^EG$3)</f>
        <v>4.3567307893441551</v>
      </c>
      <c r="EH107" s="110">
        <f t="shared" si="219"/>
        <v>2.6804073938957318</v>
      </c>
      <c r="EI107" s="110">
        <f>IF(SeilBeregnet=0,EI106,((Loa+Lwl)/Bredde)^EI$3)</f>
        <v>1.6253987357541337</v>
      </c>
      <c r="EJ107" s="110">
        <f>IF(SeilBeregnet=0,EJ106,Lwl^EJ$3)</f>
        <v>1.9031957480130537</v>
      </c>
      <c r="EK107" s="110">
        <f>IF(SeilBeregnet=0,"-",EK$7*(EK$4*EM:EM+EK$6)*EP:EP*PropF+ErfaringsF+Dyp_F)</f>
        <v>0.86990170386976662</v>
      </c>
      <c r="EM107" s="110">
        <f>IF(SeilBeregnet=0,EM106,(EN:EN*EO:EO)^EM$3)</f>
        <v>1.6684433148623503</v>
      </c>
      <c r="EN107" s="110">
        <f t="shared" si="220"/>
        <v>2.6804073938957318</v>
      </c>
      <c r="EO107" s="110">
        <f>IF(SeilBeregnet=0,EO106,((Loa+Lwl)/Bredde/6)^EO$3)</f>
        <v>1.038537313860713</v>
      </c>
      <c r="EP107" s="110">
        <f>IF(SeilBeregnet=0,EP106,(Lwl*0.7+Loa*0.3)^EP$3)</f>
        <v>1.9175033970197257</v>
      </c>
      <c r="EQ107" s="110">
        <f>IF(SeilBeregnet=0,"-",EQ$7*(ES:ES+EQ$6)*EV:EV*PropF+ErfaringsF+Dyp_F)</f>
        <v>0.87548444960777572</v>
      </c>
      <c r="ES107" s="110">
        <f>(ET:ET*EU:EU)^ES$3</f>
        <v>1.6685311993945928</v>
      </c>
      <c r="ET107" s="110">
        <f t="shared" si="221"/>
        <v>2.6806897799403897</v>
      </c>
      <c r="EU107" s="110">
        <f>IF(SeilBeregnet=0,EU106,((Loa+Lwl)/Bredde/6)^EU$3)</f>
        <v>1.038537313860713</v>
      </c>
      <c r="EV107" s="110">
        <f>IF(SeilBeregnet=0,EV106,(Lwl*0.7+Loa*0.3)^EV$3)</f>
        <v>1.9175033970197257</v>
      </c>
      <c r="EW107" s="110">
        <f>IF(SeilBeregnet=0,"-",EW$7*(EY:EY+EW$6)*FB:FB*PropF+ErfaringsF+Dyp_F)</f>
        <v>0.90189326021704663</v>
      </c>
      <c r="EX107" s="144" t="str">
        <f t="shared" si="237"/>
        <v>-</v>
      </c>
      <c r="EY107" s="110">
        <f>(EZ:EZ*FA:FA)^EY$3</f>
        <v>2.8912841049947824</v>
      </c>
      <c r="EZ107" s="136">
        <f>IF(SeilBeregnet=0,EZ106,(SeilBeregnet^0.5/(Depl^0.3333))^EZ$3)</f>
        <v>2.6806897799403897</v>
      </c>
      <c r="FA107" s="136">
        <f>IF(SeilBeregnet=0,FA106,((Loa+Lwl)/Bredde/6)^FA$3)</f>
        <v>1.0785597522810251</v>
      </c>
      <c r="FB107" s="110">
        <f>IF(SeilBeregnet=0,FB106,(Lwl*0.07+Loa*0.03)^FB$3)</f>
        <v>1.0782914013370686</v>
      </c>
      <c r="FC107" s="110">
        <f>IF(SeilBeregnet=0,"-",FC$7*(FE:FE+FC$6)*FI:FI*PropF+ErfaringsF+Dyp_F)</f>
        <v>0.86820836291426506</v>
      </c>
      <c r="FD107" s="144" t="str">
        <f t="shared" si="238"/>
        <v>-</v>
      </c>
      <c r="FE107" s="110">
        <f>(FF:FF+FG:FG+FH:FH)^FE$3+FE$7</f>
        <v>4.7519216681374337</v>
      </c>
      <c r="FF107" s="136">
        <f>IF(SeilBeregnet=0,FF106,(SeilBeregnet^0.5/(Depl^0.3333))^FF$3)</f>
        <v>2.6806897799403897</v>
      </c>
      <c r="FG107" s="136">
        <f>IF(SeilBeregnet=0,FG106,(SeilBeregnet^0.5/Lwl*FG$7)^FG$3)</f>
        <v>0.65858245662280324</v>
      </c>
      <c r="FH107" s="136">
        <f>IF(SeilBeregnet=0,FH106,((Loa)/Bredde)^FH$3*FH$7)</f>
        <v>1.9126494315742406</v>
      </c>
      <c r="FI107" s="110">
        <f>IF(SeilBeregnet=0,FI106,(Lwl)^FI$3)</f>
        <v>1.9031957480130537</v>
      </c>
      <c r="FJ107" s="110">
        <f>IF(SeilBeregnet=0,"-",FJ$7*(FL:FL+FJ$6)*FO:FO*PropF+ErfaringsF+Dyp_F)</f>
        <v>0.90328606595581196</v>
      </c>
      <c r="FK107" s="144" t="str">
        <f t="shared" si="239"/>
        <v>-</v>
      </c>
      <c r="FL107" s="110">
        <f>(FM:FM*FN:FN)^FL$3</f>
        <v>5.1272197838298625</v>
      </c>
      <c r="FM107" s="136">
        <f>IF(SeilBeregnet=0,FM106,(SeilBeregnet^0.5/(Depl^0.3333))^FM$3)</f>
        <v>2.6806897799403897</v>
      </c>
      <c r="FN107" s="136">
        <f>IF(SeilBeregnet=0,FN106,(Loa/Bredde)^FN$3)</f>
        <v>1.9126494315742406</v>
      </c>
      <c r="FO107" s="110">
        <f>IF(SeilBeregnet=0,FO106,Lwl^FO$3)</f>
        <v>1.9031957480130537</v>
      </c>
      <c r="FQ107">
        <v>0.95</v>
      </c>
      <c r="FR107" s="64">
        <f t="shared" si="240"/>
        <v>1.1319081522633807</v>
      </c>
      <c r="FS107" s="479"/>
      <c r="FT107" s="18"/>
      <c r="FU107" s="481"/>
      <c r="FV107" s="504"/>
      <c r="FW107" s="18"/>
      <c r="FX107" s="18"/>
      <c r="FY107" s="18"/>
      <c r="FZ107" s="18"/>
      <c r="GB107" s="18"/>
      <c r="GC107" s="481"/>
      <c r="GD107" s="8"/>
      <c r="GE107" s="8"/>
      <c r="GF107" s="8"/>
      <c r="GG107" s="8"/>
      <c r="GI107" s="18"/>
      <c r="GJ107" s="18"/>
      <c r="GK107" s="18"/>
      <c r="GL107" s="18"/>
      <c r="GM107" s="18"/>
      <c r="GN107" s="18"/>
      <c r="GO107" s="18"/>
      <c r="GP107" s="18"/>
    </row>
    <row r="108" spans="1:198" ht="15.6" x14ac:dyDescent="0.3">
      <c r="A108" s="54" t="s">
        <v>211</v>
      </c>
      <c r="B108" s="223">
        <f t="shared" ref="B108" si="930">Loa/0.3048</f>
        <v>46.423884514435692</v>
      </c>
      <c r="C108" s="55" t="s">
        <v>22</v>
      </c>
      <c r="D108" s="55"/>
      <c r="E108" s="55"/>
      <c r="F108" s="55"/>
      <c r="G108" s="69" t="s">
        <v>23</v>
      </c>
      <c r="H108" s="209"/>
      <c r="I108" s="126" t="str">
        <f>A108</f>
        <v>RS 10 Chistiania</v>
      </c>
      <c r="J108" s="229"/>
      <c r="K108" s="119"/>
      <c r="L108" s="119"/>
      <c r="M108" s="95"/>
      <c r="N108" s="265"/>
      <c r="O108" s="169"/>
      <c r="P108" s="169"/>
      <c r="Q108" s="169">
        <v>25</v>
      </c>
      <c r="R108" s="169">
        <v>16</v>
      </c>
      <c r="S108" s="169"/>
      <c r="T108" s="169">
        <v>21.5</v>
      </c>
      <c r="U108" s="169">
        <v>43.7</v>
      </c>
      <c r="V108" s="169"/>
      <c r="W108" s="169"/>
      <c r="X108" s="169">
        <v>12.9</v>
      </c>
      <c r="Y108" s="169">
        <v>14</v>
      </c>
      <c r="Z108" s="169"/>
      <c r="AA108" s="169"/>
      <c r="AB108" s="169"/>
      <c r="AC108" s="169"/>
      <c r="AD108" s="169"/>
      <c r="AE108" s="270">
        <v>11.2</v>
      </c>
      <c r="AF108" s="296"/>
      <c r="AG108" s="377"/>
      <c r="AH108" s="296"/>
      <c r="AI108" s="377"/>
      <c r="AJ108" s="296" t="s">
        <v>261</v>
      </c>
      <c r="AK108" s="47">
        <f>VLOOKUP(AJ108,Skrogform!$1:$1048576,3,FALSE)</f>
        <v>0.97</v>
      </c>
      <c r="AL108" s="57">
        <v>14.15</v>
      </c>
      <c r="AM108" s="57">
        <v>12.58</v>
      </c>
      <c r="AN108" s="57">
        <v>4.6500000000000004</v>
      </c>
      <c r="AO108" s="57">
        <v>2.2999999999999998</v>
      </c>
      <c r="AP108" s="175">
        <v>28</v>
      </c>
      <c r="AQ108" s="57">
        <v>5.5</v>
      </c>
      <c r="AR108" s="57">
        <v>2</v>
      </c>
      <c r="AS108" s="281">
        <v>150</v>
      </c>
      <c r="AT108" s="282">
        <f>AS108*7</f>
        <v>1050</v>
      </c>
      <c r="AU108" s="281">
        <f>ROUND(Depl*10,-2)</f>
        <v>300</v>
      </c>
      <c r="AV108" s="281">
        <f>ROUND(Depl*10,-2)</f>
        <v>300</v>
      </c>
      <c r="AW108" s="270">
        <f>Depl+Diesel/1000+Vann/1000</f>
        <v>28.6</v>
      </c>
      <c r="AX108" s="281"/>
      <c r="AY108" s="98">
        <f>Bredde/(Loa+Lwl)*2</f>
        <v>0.34792368125701462</v>
      </c>
      <c r="AZ108" s="98">
        <f>(Kjøl+Ballast)/Depl</f>
        <v>0.26785714285714285</v>
      </c>
      <c r="BA108" s="288">
        <f>BA$7*((Depl-Kjøl-Ballast-VektMotor/1000-VektAnnet/1000)/Loa/Lwl/Bredde)</f>
        <v>1.0167066987922915</v>
      </c>
      <c r="BB108" s="98">
        <f>BB$7*(Depl/Loa/Lwl/Lwl)</f>
        <v>0.93891973750631008</v>
      </c>
      <c r="BC108" s="178">
        <f>BC$7*(Depl/Loa/Lwl/Bredde)</f>
        <v>0.93891973750631008</v>
      </c>
      <c r="BD108" s="98">
        <f>BD$7*Bredde/(Loa+Lwl)*2</f>
        <v>0.99251777029554811</v>
      </c>
      <c r="BE108" s="98">
        <f>BE$7*(Dypg/Lwl)</f>
        <v>1</v>
      </c>
      <c r="BF108" s="70" t="s">
        <v>24</v>
      </c>
      <c r="BG108" s="294">
        <v>3</v>
      </c>
      <c r="BH108" s="294">
        <v>90</v>
      </c>
      <c r="BI108" s="47">
        <f t="shared" si="853"/>
        <v>1</v>
      </c>
      <c r="BJ108" s="61"/>
      <c r="BK108" s="61"/>
      <c r="BM108" s="214"/>
      <c r="BN108" s="214" t="str">
        <f>$A108</f>
        <v>RS 10 Chistiania</v>
      </c>
      <c r="BO108" s="10"/>
      <c r="BP108" s="10"/>
      <c r="BQ108" s="10"/>
      <c r="BR108" s="10"/>
      <c r="BS108" s="52"/>
      <c r="BT108" s="214" t="str">
        <f>$A108</f>
        <v>RS 10 Chistiania</v>
      </c>
      <c r="BU108" s="10"/>
      <c r="BV108" s="10"/>
      <c r="BW108" s="10"/>
      <c r="BX108" s="10"/>
      <c r="BY108" s="10"/>
      <c r="BZ108" s="10"/>
      <c r="CA108" s="10"/>
      <c r="CB108" s="10"/>
      <c r="CC108" s="10"/>
      <c r="CD108" s="214"/>
      <c r="CE108" s="10"/>
      <c r="CF108" s="214" t="str">
        <f>$A108</f>
        <v>RS 10 Chistiania</v>
      </c>
      <c r="CG108" s="212"/>
      <c r="CH108" s="212"/>
      <c r="CI108" s="119"/>
      <c r="CJ108" s="212"/>
      <c r="CK108" s="208"/>
      <c r="CL108" s="208" t="s">
        <v>26</v>
      </c>
      <c r="CM108" s="110" t="str">
        <f t="shared" si="690"/>
        <v>-</v>
      </c>
      <c r="CN108" s="64" t="str">
        <f>IF(SeilBeregnet=0,"-",(SeilBeregnet)^(1/2)*StHfaktor/(Depl+DeplTillegg/1000+Vann/1000+Diesel/1000*0.84)^(1/3))</f>
        <v>-</v>
      </c>
      <c r="CO108" s="64" t="str">
        <f t="shared" si="659"/>
        <v>-</v>
      </c>
      <c r="CP108" s="64" t="str">
        <f t="shared" si="660"/>
        <v>-</v>
      </c>
      <c r="CQ108" s="110" t="str">
        <f t="shared" si="661"/>
        <v>-</v>
      </c>
      <c r="CR108" s="172"/>
      <c r="CS108" s="162">
        <v>0.87</v>
      </c>
      <c r="CT108" s="172"/>
      <c r="CU108" s="164">
        <v>1.17</v>
      </c>
      <c r="CV108" s="195" t="s">
        <v>145</v>
      </c>
      <c r="CW108" s="30" t="s">
        <v>26</v>
      </c>
      <c r="CX108" s="30" t="s">
        <v>26</v>
      </c>
      <c r="CY108" s="30" t="s">
        <v>26</v>
      </c>
      <c r="CZ108" s="153">
        <v>2022</v>
      </c>
      <c r="DA108" s="64" t="str">
        <f t="shared" si="854"/>
        <v>-</v>
      </c>
      <c r="DB108" s="49">
        <f t="shared" si="855"/>
        <v>12.616566099835435</v>
      </c>
      <c r="DC108" s="50">
        <f t="shared" si="856"/>
        <v>0</v>
      </c>
      <c r="DE108" s="110" t="str">
        <f>IF(SeilBeregnet=0,"-",DE$7*(DG:DG+DE$6)*DL:DL*PropF+ErfaringsF+Dyp_F)</f>
        <v>-</v>
      </c>
      <c r="DF108" s="144" t="str">
        <f>IF($DQ108=0,"-",(DE108-$DO108)*100)</f>
        <v>-</v>
      </c>
      <c r="DG108" s="110" t="e">
        <f t="shared" si="858"/>
        <v>#REF!</v>
      </c>
      <c r="DH108" s="136" t="e">
        <f>IF(SeilBeregnet=0,#REF!,(SeilBeregnet^0.5/(Depl^0.3333))^DH$3*DH$7)</f>
        <v>#REF!</v>
      </c>
      <c r="DI108" s="136" t="e">
        <f>IF(SeilBeregnet=0,#REF!,(SeilBeregnet^0.5/Lwl)^DI$3*DI$7)</f>
        <v>#REF!</v>
      </c>
      <c r="DJ108" s="136" t="e">
        <f>IF(SeilBeregnet=0,#REF!,(0.1*Loa/Depl^0.3333)^DJ$3*DJ$7)</f>
        <v>#REF!</v>
      </c>
      <c r="DK108" s="136" t="e">
        <f>IF(SeilBeregnet=0,#REF!,((Loa)/Bredde)^DK$3*DK$7)</f>
        <v>#REF!</v>
      </c>
      <c r="DL108" s="110" t="e">
        <f>IF(SeilBeregnet=0,#REF!,(Lwl)^DL$3)</f>
        <v>#REF!</v>
      </c>
      <c r="DM108" s="136" t="e">
        <f>IF(SeilBeregnet=0,#REF!,(Dypg/Loa)^DM$3*5*DM$7)</f>
        <v>#REF!</v>
      </c>
      <c r="DO108" s="110" t="str">
        <f t="shared" ref="DO108:DO114" si="931">IF(SeilBeregnet=0,"-",DO$7*(DO$4*(LBf+SaDeplf)*Lf*PropF+DO$6)+ErfaringsF+Dyp_F)</f>
        <v>-</v>
      </c>
      <c r="DP108" s="110" t="str">
        <f t="shared" si="859"/>
        <v>-</v>
      </c>
      <c r="DR108" s="110" t="str">
        <f t="shared" si="860"/>
        <v>-</v>
      </c>
      <c r="DT108" s="110" t="str">
        <f t="shared" si="862"/>
        <v>-</v>
      </c>
      <c r="DV108" s="110">
        <f>IF(SeilBeregnet=0,DV103,SeilBeregnet^0.5/Depl^0.33333)</f>
        <v>2.8179313652291849</v>
      </c>
      <c r="DW108" s="110">
        <f>IF(SeilBeregnet=0,DW103,Lwl^0.3333)</f>
        <v>2.317501078004538</v>
      </c>
      <c r="DX108" s="110">
        <f>IF(SeilBeregnet=0,DX103,((Loa+Lwl)/Bredde)^DX$3)</f>
        <v>1.6238537419499199</v>
      </c>
      <c r="DZ108" s="110" t="str">
        <f t="shared" si="864"/>
        <v>-</v>
      </c>
      <c r="EB108" s="110">
        <f>IF(SeilBeregnet=0,EB103,SeilBeregnet^0.5/Depl^0.33333)</f>
        <v>2.8179313652291849</v>
      </c>
      <c r="EC108" s="110">
        <f>IF(SeilBeregnet=0,EC103,Lwl^EC$3)</f>
        <v>2.3176764073442899</v>
      </c>
      <c r="ED108" s="110">
        <f>IF(SeilBeregnet=0,ED103,((Loa+Lwl)/Bredde)^ED$3)</f>
        <v>1.9085394483088816</v>
      </c>
      <c r="EE108" s="110" t="str">
        <f t="shared" si="865"/>
        <v>-</v>
      </c>
      <c r="EG108" s="110">
        <f>IF(SeilBeregnet=0,EG103,(EH108*EI108)^EG$3)</f>
        <v>4.5759083919854584</v>
      </c>
      <c r="EH108" s="110">
        <f>IF(SeilBeregnet=0,EH103,SeilBeregnet^0.5/Depl^0.33333)</f>
        <v>2.8179313652291849</v>
      </c>
      <c r="EI108" s="110">
        <f>IF(SeilBeregnet=0,EI103,((Loa+Lwl)/Bredde)^EI$3)</f>
        <v>1.6238537419499199</v>
      </c>
      <c r="EJ108" s="110">
        <f>IF(SeilBeregnet=0,EJ103,Lwl^EJ$3)</f>
        <v>1.878418417945126</v>
      </c>
      <c r="EK108" s="110" t="str">
        <f>IF(SeilBeregnet=0,"-",EK$7*(EK$4*EM:EM+EK$6)*EP:EP*PropF+ErfaringsF+Dyp_F)</f>
        <v>-</v>
      </c>
      <c r="EM108" s="110">
        <f>IF(SeilBeregnet=0,EM103,(EN:EN*EO:EO)^EM$3)</f>
        <v>1.7098962286413051</v>
      </c>
      <c r="EN108" s="110">
        <f>IF(SeilBeregnet=0,EN103,SeilBeregnet^0.5/Depl^0.33333)</f>
        <v>2.8179313652291849</v>
      </c>
      <c r="EO108" s="110">
        <f>IF(SeilBeregnet=0,EO103,((Loa+Lwl)/Bredde/6)^EO$3)</f>
        <v>1.0375501507234075</v>
      </c>
      <c r="EP108" s="110">
        <f>IF(SeilBeregnet=0,EP103,(Lwl*0.7+Loa*0.3)^EP$3)</f>
        <v>1.8992304700730467</v>
      </c>
      <c r="EQ108" s="110" t="str">
        <f>IF(SeilBeregnet=0,"-",EQ$7*(ES:ES+EQ$6)*EV:EV*PropF+ErfaringsF+Dyp_F)</f>
        <v>-</v>
      </c>
      <c r="ES108" s="110">
        <f>(ET:ET*EU:EU)^ES$3</f>
        <v>1.7099766510785424</v>
      </c>
      <c r="ET108" s="110">
        <f>IF(SeilBeregnet=0,ET103,SeilBeregnet^0.5/Depl^0.3333)</f>
        <v>2.8181964459212718</v>
      </c>
      <c r="EU108" s="110">
        <f>IF(SeilBeregnet=0,EU103,((Loa+Lwl)/Bredde/6)^EU$3)</f>
        <v>1.0375501507234075</v>
      </c>
      <c r="EV108" s="110">
        <f>IF(SeilBeregnet=0,EV103,(Lwl*0.7+Loa*0.3)^EV$3)</f>
        <v>1.8992304700730467</v>
      </c>
      <c r="EW108" s="110" t="str">
        <f>IF(SeilBeregnet=0,"-",EW$7*(EY:EY+EW$6)*FB:FB*PropF+ErfaringsF+Dyp_F)</f>
        <v>-</v>
      </c>
      <c r="EX108" s="144" t="str">
        <f>IF($DQ108=0,"-",(EW108-$DO108)*100)</f>
        <v>-</v>
      </c>
      <c r="EY108" s="110">
        <f>(EZ:EZ*FA:FA)^EY$3</f>
        <v>3.0338175444806952</v>
      </c>
      <c r="EZ108" s="136">
        <f>IF(SeilBeregnet=0,EZ103,(SeilBeregnet^0.5/(Depl^0.3333))^EZ$3)</f>
        <v>2.8181964459212718</v>
      </c>
      <c r="FA108" s="136">
        <f>IF(SeilBeregnet=0,FA103,((Loa+Lwl)/Bredde/6)^FA$3)</f>
        <v>1.0765103152661655</v>
      </c>
      <c r="FB108" s="110">
        <f>IF(SeilBeregnet=0,FB103,(Lwl*0.07+Loa*0.03)^FB$3)</f>
        <v>1.0680157793827667</v>
      </c>
      <c r="FC108" s="110" t="str">
        <f>IF(SeilBeregnet=0,"-",FC$7*(FE:FE+FC$6)*FI:FI*PropF+ErfaringsF+Dyp_F)</f>
        <v>-</v>
      </c>
      <c r="FD108" s="144" t="str">
        <f>IF($DQ108=0,"-",(FC108-$DO108)*100)</f>
        <v>-</v>
      </c>
      <c r="FE108" s="110">
        <f>(FF:FF+FG:FG+FH:FH)^FE$3+FE$7</f>
        <v>4.8904656756808258</v>
      </c>
      <c r="FF108" s="136">
        <f>IF(SeilBeregnet=0,FF103,(SeilBeregnet^0.5/(Depl^0.3333))^FF$3)</f>
        <v>2.8181964459212718</v>
      </c>
      <c r="FG108" s="136">
        <f>IF(SeilBeregnet=0,FG103,(SeilBeregnet^0.5/Lwl*FG$7)^FG$3)</f>
        <v>0.64367375131402971</v>
      </c>
      <c r="FH108" s="136">
        <f>IF(SeilBeregnet=0,FH103,((Loa)/Bredde)^FH$3*FH$7)</f>
        <v>1.9285954784455239</v>
      </c>
      <c r="FI108" s="110">
        <f>IF(SeilBeregnet=0,FI103,(Lwl)^FI$3)</f>
        <v>1.878418417945126</v>
      </c>
      <c r="FJ108" s="110" t="str">
        <f>IF(SeilBeregnet=0,"-",FJ$7*(FL:FL+FJ$6)*FO:FO*PropF+ErfaringsF+Dyp_F)</f>
        <v>-</v>
      </c>
      <c r="FK108" s="144" t="str">
        <f>IF($DQ108=0,"-",(FJ108-$DO108)*100)</f>
        <v>-</v>
      </c>
      <c r="FL108" s="110">
        <f>(FM:FM*FN:FN)^FL$3</f>
        <v>5.43516092297501</v>
      </c>
      <c r="FM108" s="136">
        <f>IF(SeilBeregnet=0,FM103,(SeilBeregnet^0.5/(Depl^0.3333))^FM$3)</f>
        <v>2.8181964459212718</v>
      </c>
      <c r="FN108" s="136">
        <f>IF(SeilBeregnet=0,FN103,(Loa/Bredde)^FN$3)</f>
        <v>1.9285954784455239</v>
      </c>
      <c r="FO108" s="110">
        <f>IF(SeilBeregnet=0,FO103,Lwl^FO$3)</f>
        <v>1.878418417945126</v>
      </c>
      <c r="FQ108">
        <v>0.95</v>
      </c>
      <c r="FR108" s="64" t="str">
        <f t="shared" si="240"/>
        <v>-</v>
      </c>
      <c r="FS108" s="480" t="s">
        <v>483</v>
      </c>
      <c r="FT108" s="59"/>
      <c r="FU108" s="475"/>
      <c r="FV108" s="77"/>
      <c r="FW108" s="59"/>
      <c r="FX108" s="59"/>
      <c r="FY108" s="59" t="s">
        <v>455</v>
      </c>
      <c r="FZ108" s="59"/>
      <c r="GB108" s="59" t="s">
        <v>522</v>
      </c>
      <c r="GC108" s="475" t="s">
        <v>522</v>
      </c>
      <c r="GD108" s="60" t="s">
        <v>522</v>
      </c>
      <c r="GE108" s="60" t="s">
        <v>522</v>
      </c>
      <c r="GF108" s="60" t="s">
        <v>522</v>
      </c>
      <c r="GG108" s="60" t="s">
        <v>522</v>
      </c>
      <c r="GI108" s="59"/>
      <c r="GJ108" s="59"/>
      <c r="GK108" s="59"/>
      <c r="GL108" s="59"/>
      <c r="GM108" s="59"/>
      <c r="GN108" s="59"/>
      <c r="GO108" s="59"/>
      <c r="GP108" s="59"/>
    </row>
    <row r="109" spans="1:198" ht="15.6" x14ac:dyDescent="0.3">
      <c r="A109" s="62" t="s">
        <v>27</v>
      </c>
      <c r="B109" s="223"/>
      <c r="C109" s="63" t="str">
        <f>C108</f>
        <v>Gaffel</v>
      </c>
      <c r="D109" s="63"/>
      <c r="E109" s="63"/>
      <c r="F109" s="63"/>
      <c r="G109" s="56"/>
      <c r="H109" s="209">
        <f>TBFavrundet</f>
        <v>92.5</v>
      </c>
      <c r="I109" s="65">
        <f>COUNTA(O109:AD109)</f>
        <v>5</v>
      </c>
      <c r="J109" s="228">
        <f>SUM(O109:AD109)</f>
        <v>117.10000000000001</v>
      </c>
      <c r="K109" s="119">
        <f>Seilareal/Depl^0.667/K$7</f>
        <v>1.159860742216037</v>
      </c>
      <c r="L109" s="119">
        <f>Seilareal/Lwl/Lwl/L$7</f>
        <v>1.1227229146692235</v>
      </c>
      <c r="M109" s="95">
        <f>RiggF</f>
        <v>0.76643894107600319</v>
      </c>
      <c r="N109" s="265">
        <f>StHfaktor</f>
        <v>0.98558065984125853</v>
      </c>
      <c r="O109" s="147"/>
      <c r="P109" s="147"/>
      <c r="Q109" s="169">
        <v>25</v>
      </c>
      <c r="R109" s="147"/>
      <c r="S109" s="147"/>
      <c r="T109" s="169">
        <v>21.5</v>
      </c>
      <c r="U109" s="169">
        <v>43.7</v>
      </c>
      <c r="V109" s="148"/>
      <c r="W109" s="148"/>
      <c r="X109" s="169">
        <v>12.9</v>
      </c>
      <c r="Y109" s="169">
        <v>14</v>
      </c>
      <c r="Z109" s="147"/>
      <c r="AA109" s="147"/>
      <c r="AB109" s="147"/>
      <c r="AC109" s="147"/>
      <c r="AD109" s="147"/>
      <c r="AE109" s="260">
        <f t="shared" ref="AE109:AE111" si="932">AE108</f>
        <v>11.2</v>
      </c>
      <c r="AF109" s="375">
        <f t="shared" ref="AF109:AH109" si="933" xml:space="preserve"> AF108</f>
        <v>0</v>
      </c>
      <c r="AG109" s="377"/>
      <c r="AH109" s="375">
        <f t="shared" si="933"/>
        <v>0</v>
      </c>
      <c r="AI109" s="377"/>
      <c r="AJ109" s="295" t="str">
        <f t="shared" ref="AJ109" si="934" xml:space="preserve"> AJ108</f>
        <v>RS</v>
      </c>
      <c r="AK109" s="47">
        <f>VLOOKUP(AJ109,Skrogform!$1:$1048576,3,FALSE)</f>
        <v>0.97</v>
      </c>
      <c r="AL109" s="66">
        <f t="shared" ref="AL109:AT109" si="935">AL108</f>
        <v>14.15</v>
      </c>
      <c r="AM109" s="66">
        <f t="shared" si="935"/>
        <v>12.58</v>
      </c>
      <c r="AN109" s="66">
        <f t="shared" si="935"/>
        <v>4.6500000000000004</v>
      </c>
      <c r="AO109" s="66">
        <f t="shared" si="935"/>
        <v>2.2999999999999998</v>
      </c>
      <c r="AP109" s="66">
        <f t="shared" si="935"/>
        <v>28</v>
      </c>
      <c r="AQ109" s="66">
        <f t="shared" si="935"/>
        <v>5.5</v>
      </c>
      <c r="AR109" s="66">
        <f t="shared" si="935"/>
        <v>2</v>
      </c>
      <c r="AS109" s="284">
        <f t="shared" si="935"/>
        <v>150</v>
      </c>
      <c r="AT109" s="284">
        <f t="shared" si="935"/>
        <v>1050</v>
      </c>
      <c r="AU109" s="284">
        <f t="shared" ref="AU109:AV109" si="936">AU108</f>
        <v>300</v>
      </c>
      <c r="AV109" s="284">
        <f t="shared" si="936"/>
        <v>300</v>
      </c>
      <c r="AW109" s="284"/>
      <c r="AX109" s="284">
        <f>AX108</f>
        <v>0</v>
      </c>
      <c r="AY109" s="68"/>
      <c r="AZ109" s="68"/>
      <c r="BA109" s="289"/>
      <c r="BB109" s="68"/>
      <c r="BC109" s="179"/>
      <c r="BD109" s="68"/>
      <c r="BE109" s="68"/>
      <c r="BF109" s="67" t="str">
        <f t="shared" ref="BF109:BH109" si="937" xml:space="preserve"> BF108</f>
        <v>Seilrett</v>
      </c>
      <c r="BG109" s="295">
        <f t="shared" si="937"/>
        <v>3</v>
      </c>
      <c r="BH109" s="295">
        <f t="shared" si="937"/>
        <v>90</v>
      </c>
      <c r="BI109" s="47">
        <f t="shared" si="853"/>
        <v>1</v>
      </c>
      <c r="BJ109" s="61"/>
      <c r="BK109" s="61"/>
      <c r="BM109" s="51">
        <f t="shared" ref="BM109:BR111" si="938">IF(O109=0,0,O109*BM$9)</f>
        <v>0</v>
      </c>
      <c r="BN109" s="51">
        <f t="shared" si="938"/>
        <v>0</v>
      </c>
      <c r="BO109" s="51">
        <f t="shared" si="938"/>
        <v>25</v>
      </c>
      <c r="BP109" s="51">
        <f t="shared" si="938"/>
        <v>0</v>
      </c>
      <c r="BQ109" s="51">
        <f t="shared" si="938"/>
        <v>0</v>
      </c>
      <c r="BR109" s="51">
        <f t="shared" si="938"/>
        <v>21.5</v>
      </c>
      <c r="BS109" s="52">
        <f>IF(COUNT(P109:T109)&gt;1,MINA(P109:T109)*BS$9,0)</f>
        <v>-6.45</v>
      </c>
      <c r="BT109" s="88">
        <f t="shared" ref="BT109:CC111" si="939">IF(U109=0,0,U109*BT$9)</f>
        <v>34.96</v>
      </c>
      <c r="BU109" s="88">
        <f t="shared" si="939"/>
        <v>0</v>
      </c>
      <c r="BV109" s="88">
        <f t="shared" si="939"/>
        <v>0</v>
      </c>
      <c r="BW109" s="88">
        <f t="shared" si="939"/>
        <v>7.74</v>
      </c>
      <c r="BX109" s="88">
        <f t="shared" si="939"/>
        <v>7</v>
      </c>
      <c r="BY109" s="88">
        <f t="shared" si="939"/>
        <v>0</v>
      </c>
      <c r="BZ109" s="88">
        <f t="shared" si="939"/>
        <v>0</v>
      </c>
      <c r="CA109" s="88">
        <f t="shared" si="939"/>
        <v>0</v>
      </c>
      <c r="CB109" s="88">
        <f t="shared" si="939"/>
        <v>0</v>
      </c>
      <c r="CC109" s="88">
        <f t="shared" si="939"/>
        <v>0</v>
      </c>
      <c r="CD109" s="103">
        <f>SUM(BM109:CC109)</f>
        <v>89.749999999999986</v>
      </c>
      <c r="CE109" s="52"/>
      <c r="CF109" s="107">
        <f>J109</f>
        <v>117.10000000000001</v>
      </c>
      <c r="CG109" s="104">
        <f>CD109/CF109</f>
        <v>0.76643894107600319</v>
      </c>
      <c r="CH109" s="53">
        <f>Seilareal/Lwl/Lwl</f>
        <v>0.7399384795812366</v>
      </c>
      <c r="CI109" s="119">
        <f>Seilareal/Depl^0.667/K$7</f>
        <v>1.159860742216037</v>
      </c>
      <c r="CJ109" s="53">
        <f>Seilareal/Lwl/Lwl/SApRS1</f>
        <v>1.1227229146692235</v>
      </c>
      <c r="CK109" s="209"/>
      <c r="CL109" s="209">
        <f>(ROUND(TBF/CL$6,3)*CL$6)*CL$4</f>
        <v>92.5</v>
      </c>
      <c r="CM109" s="110">
        <f t="shared" si="690"/>
        <v>0.92280095252460781</v>
      </c>
      <c r="CN109" s="64">
        <f>IF(SeilBeregnet=0,"-",(SeilBeregnet)^(1/2)*StHfaktor/(Depl+DeplTillegg/1000+Vann/1000+Diesel/1000*0.84)^(1/3))</f>
        <v>3.0478017545440825</v>
      </c>
      <c r="CO109" s="64">
        <f t="shared" si="659"/>
        <v>1.6953446694955856</v>
      </c>
      <c r="CP109" s="64">
        <f t="shared" si="660"/>
        <v>1.8833028354976902</v>
      </c>
      <c r="CQ109" s="110">
        <f t="shared" si="661"/>
        <v>0.98558065984125853</v>
      </c>
      <c r="CR109" s="172">
        <f>IF(CS109=0,"-",IF(CH109="TBF","-",CR$7*CS109))</f>
        <v>0.90070588235294125</v>
      </c>
      <c r="CS109" s="163">
        <f>CS108</f>
        <v>0.87</v>
      </c>
      <c r="CT109" s="172">
        <f>IF(CU109=0,"-",IF(CL109="TBF","-",CT$7*CU109))</f>
        <v>0.90315789473684216</v>
      </c>
      <c r="CU109" s="163">
        <f>CU108</f>
        <v>1.17</v>
      </c>
      <c r="CV109" s="195" t="s">
        <v>145</v>
      </c>
      <c r="CW109" s="64">
        <v>0.88</v>
      </c>
      <c r="CX109" s="64">
        <v>0.87</v>
      </c>
      <c r="CY109" s="64">
        <v>0.88</v>
      </c>
      <c r="CZ109" s="154">
        <v>0.91</v>
      </c>
      <c r="DA109" s="64">
        <f t="shared" si="854"/>
        <v>2.0499999999999998</v>
      </c>
      <c r="DB109" s="49">
        <f t="shared" si="855"/>
        <v>12.616566099835435</v>
      </c>
      <c r="DC109" s="50">
        <f t="shared" si="856"/>
        <v>0</v>
      </c>
      <c r="DE109" s="110">
        <f>IF(SeilBeregnet=0,"-",DE$7*(DG:DG+DE$6)*DL:DL*PropF+ErfaringsF+Dyp_F)</f>
        <v>0.92531327427461552</v>
      </c>
      <c r="DF109" s="144">
        <f>IF($DQ109=0,"-",(DE109-$DO109)*100)</f>
        <v>-3.2907524915104513E-2</v>
      </c>
      <c r="DG109" s="110">
        <f t="shared" si="858"/>
        <v>4.864601377109028</v>
      </c>
      <c r="DH109" s="136">
        <f>IF(SeilBeregnet=0,DH108,(SeilBeregnet^0.5/(Depl^0.3333))^DH$3*DH$7)</f>
        <v>3.1201786208116409</v>
      </c>
      <c r="DI109" s="136">
        <f>IF(SeilBeregnet=0,DI108,(SeilBeregnet^0.5/Lwl)^DI$3*DI$7)</f>
        <v>0</v>
      </c>
      <c r="DJ109" s="136">
        <f>IF(SeilBeregnet=0,DJ108,(0.1*Loa/Depl^0.3333)^DJ$3*DJ$7)</f>
        <v>0</v>
      </c>
      <c r="DK109" s="136">
        <f>IF(SeilBeregnet=0,DK108,((Loa)/Bredde)^DK$3*DK$7)</f>
        <v>1.7444227562973869</v>
      </c>
      <c r="DL109" s="110">
        <f>IF(SeilBeregnet=0,DL108,(Lwl)^DL$3)</f>
        <v>1.8833028354976902</v>
      </c>
      <c r="DM109" s="136">
        <f>IF(SeilBeregnet=0,DM108,(Dypg/Loa)^DM$3*5*DM$7)</f>
        <v>2.0158383467636201</v>
      </c>
      <c r="DO109" s="110">
        <f t="shared" si="931"/>
        <v>0.92564234952376656</v>
      </c>
      <c r="DP109" s="110">
        <f t="shared" si="859"/>
        <v>0.92358347128181284</v>
      </c>
      <c r="DQ109" s="125">
        <f>DP109-DO109</f>
        <v>-2.058878241953721E-3</v>
      </c>
      <c r="DR109" s="110">
        <f t="shared" si="860"/>
        <v>0.91494077962063192</v>
      </c>
      <c r="DS109" s="125">
        <f>IF($DQ109=0,"-",DR109-$DO109)</f>
        <v>-1.0701569903134645E-2</v>
      </c>
      <c r="DT109" s="110">
        <f t="shared" si="862"/>
        <v>0.92961825742426996</v>
      </c>
      <c r="DU109" s="125">
        <f>IF($DQ109=0,"-",DT109-$DO109)</f>
        <v>3.9759079005033948E-3</v>
      </c>
      <c r="DV109" s="110">
        <f t="shared" si="214"/>
        <v>3.1198667242032649</v>
      </c>
      <c r="DW109" s="110">
        <f t="shared" si="215"/>
        <v>2.3255386279619175</v>
      </c>
      <c r="DX109" s="110">
        <f>IF(SeilBeregnet=0,DX108,((Loa+Lwl)/Bredde)^DX$3)</f>
        <v>1.5484119040157207</v>
      </c>
      <c r="DZ109" s="110">
        <f t="shared" si="864"/>
        <v>0.92496893769491162</v>
      </c>
      <c r="EB109" s="110">
        <f t="shared" si="217"/>
        <v>3.1198667242032649</v>
      </c>
      <c r="EC109" s="110">
        <f>IF(SeilBeregnet=0,EC108,Lwl^EC$3)</f>
        <v>2.3257152901382043</v>
      </c>
      <c r="ED109" s="110">
        <f>IF(SeilBeregnet=0,ED108,((Loa+Lwl)/Bredde)^ED$3)</f>
        <v>1.7912519812070522</v>
      </c>
      <c r="EE109" s="110">
        <f t="shared" si="865"/>
        <v>0.92616297701394401</v>
      </c>
      <c r="EG109" s="110">
        <f>IF(SeilBeregnet=0,EG108,(EH109*EI109)^EG$3)</f>
        <v>4.8308387746988668</v>
      </c>
      <c r="EH109" s="110">
        <f t="shared" si="219"/>
        <v>3.1198667242032649</v>
      </c>
      <c r="EI109" s="110">
        <f>IF(SeilBeregnet=0,EI108,((Loa+Lwl)/Bredde)^EI$3)</f>
        <v>1.5484119040157207</v>
      </c>
      <c r="EJ109" s="110">
        <f>IF(SeilBeregnet=0,EJ108,Lwl^EJ$3)</f>
        <v>1.8833028354976902</v>
      </c>
      <c r="EK109" s="110">
        <f>IF(SeilBeregnet=0,"-",EK$7*(EK$4*EM:EM+EK$6)*EP:EP*PropF+ErfaringsF+Dyp_F)</f>
        <v>0.927537606578828</v>
      </c>
      <c r="EM109" s="110">
        <f>IF(SeilBeregnet=0,EM108,(EN:EN*EO:EO)^EM$3)</f>
        <v>1.756881078166463</v>
      </c>
      <c r="EN109" s="110">
        <f t="shared" si="220"/>
        <v>3.1198667242032649</v>
      </c>
      <c r="EO109" s="110">
        <f>IF(SeilBeregnet=0,EO108,((Loa+Lwl)/Bredde/6)^EO$3)</f>
        <v>0.98934710860368591</v>
      </c>
      <c r="EP109" s="110">
        <f>IF(SeilBeregnet=0,EP108,(Lwl*0.7+Loa*0.3)^EP$3)</f>
        <v>1.9006885016012918</v>
      </c>
      <c r="EQ109" s="110">
        <f>IF(SeilBeregnet=0,"-",EQ$7*(ES:ES+EQ$6)*EV:EV*PropF+ErfaringsF+Dyp_F)</f>
        <v>0.9138038488853617</v>
      </c>
      <c r="ES109" s="110">
        <f>(ET:ET*EU:EU)^ES$3</f>
        <v>1.7569688946669015</v>
      </c>
      <c r="ET109" s="110">
        <f t="shared" si="221"/>
        <v>3.1201786208116409</v>
      </c>
      <c r="EU109" s="110">
        <f>IF(SeilBeregnet=0,EU108,((Loa+Lwl)/Bredde/6)^EU$3)</f>
        <v>0.98934710860368591</v>
      </c>
      <c r="EV109" s="110">
        <f>IF(SeilBeregnet=0,EV108,(Lwl*0.7+Loa*0.3)^EV$3)</f>
        <v>1.9006885016012918</v>
      </c>
      <c r="EW109" s="110">
        <f>IF(SeilBeregnet=0,"-",EW$7*(EY:EY+EW$6)*FB:FB*PropF+ErfaringsF+Dyp_F)</f>
        <v>0.92373417182176487</v>
      </c>
      <c r="EX109" s="144">
        <f t="shared" ref="EX109:EX111" si="940">IF($DQ109=0,"-",(EW109-$DO109)*100)</f>
        <v>-0.19081777020016899</v>
      </c>
      <c r="EY109" s="110">
        <f>(EZ:EZ*FA:FA)^EY$3</f>
        <v>3.0540548634897644</v>
      </c>
      <c r="EZ109" s="136">
        <f>IF(SeilBeregnet=0,EZ108,(SeilBeregnet^0.5/(Depl^0.3333))^EZ$3)</f>
        <v>3.1201786208116409</v>
      </c>
      <c r="FA109" s="136">
        <f>IF(SeilBeregnet=0,FA108,((Loa+Lwl)/Bredde/6)^FA$3)</f>
        <v>0.97880770130247352</v>
      </c>
      <c r="FB109" s="110">
        <f>IF(SeilBeregnet=0,FB108,(Lwl*0.07+Loa*0.03)^FB$3)</f>
        <v>1.0688356907645293</v>
      </c>
      <c r="FC109" s="110">
        <f>IF(SeilBeregnet=0,"-",FC$7*(FE:FE+FC$6)*FI:FI*PropF+ErfaringsF+Dyp_F)</f>
        <v>0.92526039041415253</v>
      </c>
      <c r="FD109" s="144">
        <f t="shared" ref="FD109:FD111" si="941">IF($DQ109=0,"-",(FC109-$DO109)*100)</f>
        <v>-3.8195910961402735E-2</v>
      </c>
      <c r="FE109" s="110">
        <f>(FF:FF+FG:FG+FH:FH)^FE$3+FE$7</f>
        <v>5.1176735282018901</v>
      </c>
      <c r="FF109" s="136">
        <f>IF(SeilBeregnet=0,FF108,(SeilBeregnet^0.5/(Depl^0.3333))^FF$3)</f>
        <v>3.1201786208116409</v>
      </c>
      <c r="FG109" s="136">
        <f>IF(SeilBeregnet=0,FG108,(SeilBeregnet^0.5/Lwl*FG$7)^FG$3)</f>
        <v>0.7530721510928623</v>
      </c>
      <c r="FH109" s="136">
        <f>IF(SeilBeregnet=0,FH108,((Loa)/Bredde)^FH$3*FH$7)</f>
        <v>1.7444227562973869</v>
      </c>
      <c r="FI109" s="110">
        <f>IF(SeilBeregnet=0,FI108,(Lwl)^FI$3)</f>
        <v>1.8833028354976902</v>
      </c>
      <c r="FJ109" s="110">
        <f>IF(SeilBeregnet=0,"-",FJ$7*(FL:FL+FJ$6)*FO:FO*PropF+ErfaringsF+Dyp_F)</f>
        <v>0.92476073503984357</v>
      </c>
      <c r="FK109" s="144">
        <f t="shared" ref="FK109:FK111" si="942">IF($DQ109=0,"-",(FJ109-$DO109)*100)</f>
        <v>-8.816144839229878E-2</v>
      </c>
      <c r="FL109" s="110">
        <f>(FM:FM*FN:FN)^FL$3</f>
        <v>5.4429105898564218</v>
      </c>
      <c r="FM109" s="136">
        <f>IF(SeilBeregnet=0,FM108,(SeilBeregnet^0.5/(Depl^0.3333))^FM$3)</f>
        <v>3.1201786208116409</v>
      </c>
      <c r="FN109" s="136">
        <f>IF(SeilBeregnet=0,FN108,(Loa/Bredde)^FN$3)</f>
        <v>1.7444227562973869</v>
      </c>
      <c r="FO109" s="110">
        <f>IF(SeilBeregnet=0,FO108,Lwl^FO$3)</f>
        <v>1.8833028354976902</v>
      </c>
      <c r="FQ109">
        <v>0.95</v>
      </c>
      <c r="FR109" s="64">
        <f t="shared" si="240"/>
        <v>1.1513105185974994</v>
      </c>
      <c r="FS109" s="479"/>
      <c r="FT109" s="18"/>
      <c r="FU109" s="481"/>
      <c r="FV109" s="504"/>
      <c r="FW109" s="18"/>
      <c r="FX109" s="18"/>
      <c r="FY109" s="18"/>
      <c r="FZ109" s="18"/>
      <c r="GB109" s="18"/>
      <c r="GC109" s="481"/>
      <c r="GD109" s="8"/>
      <c r="GE109" s="8"/>
      <c r="GF109" s="8"/>
      <c r="GG109" s="8"/>
      <c r="GI109" s="18"/>
      <c r="GJ109" s="18"/>
      <c r="GK109" s="18"/>
      <c r="GL109" s="18"/>
      <c r="GM109" s="18"/>
      <c r="GN109" s="18"/>
      <c r="GO109" s="18"/>
      <c r="GP109" s="18"/>
    </row>
    <row r="110" spans="1:198" ht="15.6" x14ac:dyDescent="0.3">
      <c r="A110" s="62" t="s">
        <v>28</v>
      </c>
      <c r="B110" s="223"/>
      <c r="C110" s="14" t="str">
        <f>C108</f>
        <v>Gaffel</v>
      </c>
      <c r="G110" s="56"/>
      <c r="H110" s="209">
        <f>TBFavrundet</f>
        <v>89.999999999999986</v>
      </c>
      <c r="I110" s="65">
        <f>COUNTA(O110:AD110)</f>
        <v>4</v>
      </c>
      <c r="J110" s="228">
        <f>SUM(O110:AD110)</f>
        <v>103.10000000000001</v>
      </c>
      <c r="K110" s="119">
        <f>Seilareal/Depl^0.667/K$7</f>
        <v>1.0211925065966987</v>
      </c>
      <c r="L110" s="119">
        <f>Seilareal/Lwl/Lwl/L$7</f>
        <v>0.98849472674976024</v>
      </c>
      <c r="M110" s="95">
        <f>RiggF</f>
        <v>0.80261881668283197</v>
      </c>
      <c r="N110" s="265">
        <f>StHfaktor</f>
        <v>0.98558065984125853</v>
      </c>
      <c r="O110" s="147"/>
      <c r="P110" s="147"/>
      <c r="Q110" s="169">
        <v>25</v>
      </c>
      <c r="R110" s="147"/>
      <c r="S110" s="147"/>
      <c r="T110" s="169">
        <v>21.5</v>
      </c>
      <c r="U110" s="169">
        <v>43.7</v>
      </c>
      <c r="V110" s="148"/>
      <c r="W110" s="148"/>
      <c r="X110" s="169">
        <v>12.9</v>
      </c>
      <c r="Y110" s="147"/>
      <c r="Z110" s="147"/>
      <c r="AA110" s="147"/>
      <c r="AB110" s="147"/>
      <c r="AC110" s="147"/>
      <c r="AD110" s="147"/>
      <c r="AE110" s="260">
        <f t="shared" si="932"/>
        <v>11.2</v>
      </c>
      <c r="AF110" s="375">
        <f t="shared" ref="AF110:AH110" si="943" xml:space="preserve"> AF109</f>
        <v>0</v>
      </c>
      <c r="AG110" s="377"/>
      <c r="AH110" s="375">
        <f t="shared" si="943"/>
        <v>0</v>
      </c>
      <c r="AI110" s="377"/>
      <c r="AJ110" s="295" t="str">
        <f t="shared" ref="AJ110" si="944" xml:space="preserve"> AJ109</f>
        <v>RS</v>
      </c>
      <c r="AK110" s="47">
        <f>VLOOKUP(AJ110,Skrogform!$1:$1048576,3,FALSE)</f>
        <v>0.97</v>
      </c>
      <c r="AL110" s="66">
        <f t="shared" ref="AL110:AT110" si="945">AL109</f>
        <v>14.15</v>
      </c>
      <c r="AM110" s="66">
        <f t="shared" si="945"/>
        <v>12.58</v>
      </c>
      <c r="AN110" s="66">
        <f t="shared" si="945"/>
        <v>4.6500000000000004</v>
      </c>
      <c r="AO110" s="66">
        <f t="shared" si="945"/>
        <v>2.2999999999999998</v>
      </c>
      <c r="AP110" s="66">
        <f t="shared" si="945"/>
        <v>28</v>
      </c>
      <c r="AQ110" s="66">
        <f t="shared" si="945"/>
        <v>5.5</v>
      </c>
      <c r="AR110" s="66">
        <f t="shared" si="945"/>
        <v>2</v>
      </c>
      <c r="AS110" s="284">
        <f t="shared" si="945"/>
        <v>150</v>
      </c>
      <c r="AT110" s="284">
        <f t="shared" si="945"/>
        <v>1050</v>
      </c>
      <c r="AU110" s="284">
        <f t="shared" ref="AU110:AV110" si="946">AU109</f>
        <v>300</v>
      </c>
      <c r="AV110" s="284">
        <f t="shared" si="946"/>
        <v>300</v>
      </c>
      <c r="AW110" s="284"/>
      <c r="AX110" s="284">
        <f>AX109</f>
        <v>0</v>
      </c>
      <c r="AY110" s="68"/>
      <c r="AZ110" s="68"/>
      <c r="BA110" s="289"/>
      <c r="BB110" s="68"/>
      <c r="BC110" s="179"/>
      <c r="BD110" s="68"/>
      <c r="BE110" s="68"/>
      <c r="BF110" s="67" t="str">
        <f t="shared" ref="BF110:BH110" si="947" xml:space="preserve"> BF109</f>
        <v>Seilrett</v>
      </c>
      <c r="BG110" s="295">
        <f t="shared" si="947"/>
        <v>3</v>
      </c>
      <c r="BH110" s="295">
        <f t="shared" si="947"/>
        <v>90</v>
      </c>
      <c r="BI110" s="47">
        <f t="shared" si="853"/>
        <v>1</v>
      </c>
      <c r="BJ110" s="61"/>
      <c r="BK110" s="61"/>
      <c r="BM110" s="51">
        <f t="shared" si="938"/>
        <v>0</v>
      </c>
      <c r="BN110" s="51">
        <f t="shared" si="938"/>
        <v>0</v>
      </c>
      <c r="BO110" s="51">
        <f t="shared" si="938"/>
        <v>25</v>
      </c>
      <c r="BP110" s="51">
        <f t="shared" si="938"/>
        <v>0</v>
      </c>
      <c r="BQ110" s="51">
        <f t="shared" si="938"/>
        <v>0</v>
      </c>
      <c r="BR110" s="51">
        <f t="shared" si="938"/>
        <v>21.5</v>
      </c>
      <c r="BS110" s="52">
        <f>IF(COUNT(P110:T110)&gt;1,MINA(P110:T110)*BS$9,0)</f>
        <v>-6.45</v>
      </c>
      <c r="BT110" s="88">
        <f t="shared" si="939"/>
        <v>34.96</v>
      </c>
      <c r="BU110" s="88">
        <f t="shared" si="939"/>
        <v>0</v>
      </c>
      <c r="BV110" s="88">
        <f t="shared" si="939"/>
        <v>0</v>
      </c>
      <c r="BW110" s="88">
        <f t="shared" si="939"/>
        <v>7.74</v>
      </c>
      <c r="BX110" s="88">
        <f t="shared" si="939"/>
        <v>0</v>
      </c>
      <c r="BY110" s="88">
        <f t="shared" si="939"/>
        <v>0</v>
      </c>
      <c r="BZ110" s="88">
        <f t="shared" si="939"/>
        <v>0</v>
      </c>
      <c r="CA110" s="88">
        <f t="shared" si="939"/>
        <v>0</v>
      </c>
      <c r="CB110" s="88">
        <f t="shared" si="939"/>
        <v>0</v>
      </c>
      <c r="CC110" s="88">
        <f t="shared" si="939"/>
        <v>0</v>
      </c>
      <c r="CD110" s="103">
        <f>SUM(BM110:CC110)</f>
        <v>82.749999999999986</v>
      </c>
      <c r="CE110" s="52"/>
      <c r="CF110" s="107">
        <f>J110</f>
        <v>103.10000000000001</v>
      </c>
      <c r="CG110" s="104">
        <f>CD110/CF110</f>
        <v>0.80261881668283197</v>
      </c>
      <c r="CH110" s="53">
        <f>Seilareal/Lwl/Lwl</f>
        <v>0.65147444273975652</v>
      </c>
      <c r="CI110" s="119">
        <f>Seilareal/Depl^0.667/K$7</f>
        <v>1.0211925065966987</v>
      </c>
      <c r="CJ110" s="53">
        <f>Seilareal/Lwl/Lwl/SApRS1</f>
        <v>0.98849472674976024</v>
      </c>
      <c r="CK110" s="209"/>
      <c r="CL110" s="209">
        <f>(ROUND(TBF/CL$6,3)*CL$6)*CL$4</f>
        <v>89.999999999999986</v>
      </c>
      <c r="CM110" s="110">
        <f t="shared" si="690"/>
        <v>0.89920763943497817</v>
      </c>
      <c r="CN110" s="64">
        <f>IF(SeilBeregnet=0,"-",(SeilBeregnet)^(1/2)*StHfaktor/(Depl+DeplTillegg/1000+Vann/1000+Diesel/1000*0.84)^(1/3))</f>
        <v>2.9265334156827389</v>
      </c>
      <c r="CO110" s="64">
        <f t="shared" si="659"/>
        <v>1.6953446694955856</v>
      </c>
      <c r="CP110" s="64">
        <f t="shared" si="660"/>
        <v>1.8833028354976902</v>
      </c>
      <c r="CQ110" s="110">
        <f t="shared" si="661"/>
        <v>0.98558065984125853</v>
      </c>
      <c r="CR110" s="172" t="str">
        <f>IF(CS110=0,"-",IF(CH110="TBF","-",CR$7*CS110))</f>
        <v>-</v>
      </c>
      <c r="CS110" s="162"/>
      <c r="CT110" s="172" t="str">
        <f>IF(CU110=0,"-",IF(CL110="TBF","-",CT$7*CU110))</f>
        <v>-</v>
      </c>
      <c r="CU110" s="164"/>
      <c r="CV110" s="195" t="s">
        <v>145</v>
      </c>
      <c r="CW110" s="64">
        <v>0.86</v>
      </c>
      <c r="CX110" s="64">
        <v>0.86</v>
      </c>
      <c r="CY110" s="64">
        <v>0.86</v>
      </c>
      <c r="CZ110" s="154">
        <v>0.88</v>
      </c>
      <c r="DA110" s="64">
        <f t="shared" si="854"/>
        <v>2.0499999999999998</v>
      </c>
      <c r="DB110" s="49">
        <f t="shared" si="855"/>
        <v>12.616566099835435</v>
      </c>
      <c r="DC110" s="50">
        <f t="shared" si="856"/>
        <v>0</v>
      </c>
      <c r="DE110" s="110">
        <f>IF(SeilBeregnet=0,"-",DE$7*(DG:DG+DE$6)*DL:DL*PropF+ErfaringsF+Dyp_F)</f>
        <v>0.90169861385718331</v>
      </c>
      <c r="DF110" s="144" t="str">
        <f t="shared" ref="DF110:DF111" si="948">IF($DQ110=0,"-",(DE110-$DO110)*100)</f>
        <v>-</v>
      </c>
      <c r="DG110" s="110">
        <f t="shared" si="858"/>
        <v>4.7404532504362988</v>
      </c>
      <c r="DH110" s="136">
        <f>IF(SeilBeregnet=0,DH109,(SeilBeregnet^0.5/(Depl^0.3333))^DH$3*DH$7)</f>
        <v>2.9960304941389122</v>
      </c>
      <c r="DI110" s="136">
        <f>IF(SeilBeregnet=0,DI109,(SeilBeregnet^0.5/Lwl)^DI$3*DI$7)</f>
        <v>0</v>
      </c>
      <c r="DJ110" s="136">
        <f>IF(SeilBeregnet=0,DJ109,(0.1*Loa/Depl^0.3333)^DJ$3*DJ$7)</f>
        <v>0</v>
      </c>
      <c r="DK110" s="136">
        <f>IF(SeilBeregnet=0,DK109,((Loa)/Bredde)^DK$3*DK$7)</f>
        <v>1.7444227562973869</v>
      </c>
      <c r="DL110" s="110">
        <f>IF(SeilBeregnet=0,DL109,(Lwl)^DL$3)</f>
        <v>1.8833028354976902</v>
      </c>
      <c r="DM110" s="136">
        <f>IF(SeilBeregnet=0,DM109,(Dypg/Loa)^DM$3*5*DM$7)</f>
        <v>2.0158383467636201</v>
      </c>
      <c r="DO110" s="110">
        <f t="shared" si="931"/>
        <v>0.90060228973503753</v>
      </c>
      <c r="DP110" s="110">
        <f t="shared" si="859"/>
        <v>0.89468599647794833</v>
      </c>
      <c r="DR110" s="110">
        <f t="shared" si="860"/>
        <v>0.89190252889040367</v>
      </c>
      <c r="DS110" s="125" t="str">
        <f t="shared" ref="DS110:DS111" si="949">IF($DQ110=0,"-",DR110-$DO110)</f>
        <v>-</v>
      </c>
      <c r="DT110" s="110">
        <f t="shared" si="862"/>
        <v>0.9016062431976869</v>
      </c>
      <c r="DU110" s="125" t="str">
        <f t="shared" ref="DU110:DU111" si="950">IF($DQ110=0,"-",DT110-$DO110)</f>
        <v>-</v>
      </c>
      <c r="DV110" s="110">
        <f t="shared" si="214"/>
        <v>2.9957310075186654</v>
      </c>
      <c r="DW110" s="110">
        <f t="shared" si="215"/>
        <v>2.3255386279619175</v>
      </c>
      <c r="DX110" s="110">
        <f>IF(SeilBeregnet=0,DX109,((Loa+Lwl)/Bredde)^DX$3)</f>
        <v>1.5484119040157207</v>
      </c>
      <c r="DZ110" s="110">
        <f t="shared" si="864"/>
        <v>0.89978939127224478</v>
      </c>
      <c r="EB110" s="110">
        <f t="shared" si="217"/>
        <v>2.9957310075186654</v>
      </c>
      <c r="EC110" s="110">
        <f>IF(SeilBeregnet=0,EC109,Lwl^EC$3)</f>
        <v>2.3257152901382043</v>
      </c>
      <c r="ED110" s="110">
        <f>IF(SeilBeregnet=0,ED109,((Loa+Lwl)/Bredde)^ED$3)</f>
        <v>1.7912519812070522</v>
      </c>
      <c r="EE110" s="110">
        <f t="shared" si="865"/>
        <v>0.90010164322305763</v>
      </c>
      <c r="EG110" s="110">
        <f>IF(SeilBeregnet=0,EG109,(EH110*EI110)^EG$3)</f>
        <v>4.6386255532709102</v>
      </c>
      <c r="EH110" s="110">
        <f t="shared" si="219"/>
        <v>2.9957310075186654</v>
      </c>
      <c r="EI110" s="110">
        <f>IF(SeilBeregnet=0,EI109,((Loa+Lwl)/Bredde)^EI$3)</f>
        <v>1.5484119040157207</v>
      </c>
      <c r="EJ110" s="110">
        <f>IF(SeilBeregnet=0,EJ109,Lwl^EJ$3)</f>
        <v>1.8833028354976902</v>
      </c>
      <c r="EK110" s="110">
        <f>IF(SeilBeregnet=0,"-",EK$7*(EK$4*EM:EM+EK$6)*EP:EP*PropF+ErfaringsF+Dyp_F)</f>
        <v>0.90148228987478363</v>
      </c>
      <c r="EM110" s="110">
        <f>IF(SeilBeregnet=0,EM109,(EN:EN*EO:EO)^EM$3)</f>
        <v>1.721574224494256</v>
      </c>
      <c r="EN110" s="110">
        <f t="shared" si="220"/>
        <v>2.9957310075186654</v>
      </c>
      <c r="EO110" s="110">
        <f>IF(SeilBeregnet=0,EO109,((Loa+Lwl)/Bredde/6)^EO$3)</f>
        <v>0.98934710860368591</v>
      </c>
      <c r="EP110" s="110">
        <f>IF(SeilBeregnet=0,EP109,(Lwl*0.7+Loa*0.3)^EP$3)</f>
        <v>1.9006885016012918</v>
      </c>
      <c r="EQ110" s="110">
        <f>IF(SeilBeregnet=0,"-",EQ$7*(ES:ES+EQ$6)*EV:EV*PropF+ErfaringsF+Dyp_F)</f>
        <v>0.89543974947154914</v>
      </c>
      <c r="ES110" s="110">
        <f>(ET:ET*EU:EU)^ES$3</f>
        <v>1.7216602762057343</v>
      </c>
      <c r="ET110" s="110">
        <f t="shared" si="221"/>
        <v>2.9960304941389122</v>
      </c>
      <c r="EU110" s="110">
        <f>IF(SeilBeregnet=0,EU109,((Loa+Lwl)/Bredde/6)^EU$3)</f>
        <v>0.98934710860368591</v>
      </c>
      <c r="EV110" s="110">
        <f>IF(SeilBeregnet=0,EV109,(Lwl*0.7+Loa*0.3)^EV$3)</f>
        <v>1.9006885016012918</v>
      </c>
      <c r="EW110" s="110">
        <f>IF(SeilBeregnet=0,"-",EW$7*(EY:EY+EW$6)*FB:FB*PropF+ErfaringsF+Dyp_F)</f>
        <v>0.90152437394430041</v>
      </c>
      <c r="EX110" s="144" t="str">
        <f t="shared" si="940"/>
        <v>-</v>
      </c>
      <c r="EY110" s="110">
        <f>(EZ:EZ*FA:FA)^EY$3</f>
        <v>2.9325377210002226</v>
      </c>
      <c r="EZ110" s="136">
        <f>IF(SeilBeregnet=0,EZ109,(SeilBeregnet^0.5/(Depl^0.3333))^EZ$3)</f>
        <v>2.9960304941389122</v>
      </c>
      <c r="FA110" s="136">
        <f>IF(SeilBeregnet=0,FA109,((Loa+Lwl)/Bredde/6)^FA$3)</f>
        <v>0.97880770130247352</v>
      </c>
      <c r="FB110" s="110">
        <f>IF(SeilBeregnet=0,FB109,(Lwl*0.07+Loa*0.03)^FB$3)</f>
        <v>1.0688356907645293</v>
      </c>
      <c r="FC110" s="110">
        <f>IF(SeilBeregnet=0,"-",FC$7*(FE:FE+FC$6)*FI:FI*PropF+ErfaringsF+Dyp_F)</f>
        <v>0.89739740014268699</v>
      </c>
      <c r="FD110" s="144" t="str">
        <f t="shared" si="941"/>
        <v>-</v>
      </c>
      <c r="FE110" s="110">
        <f>(FF:FF+FG:FG+FH:FH)^FE$3+FE$7</f>
        <v>4.9635615731175493</v>
      </c>
      <c r="FF110" s="136">
        <f>IF(SeilBeregnet=0,FF109,(SeilBeregnet^0.5/(Depl^0.3333))^FF$3)</f>
        <v>2.9960304941389122</v>
      </c>
      <c r="FG110" s="136">
        <f>IF(SeilBeregnet=0,FG109,(SeilBeregnet^0.5/Lwl*FG$7)^FG$3)</f>
        <v>0.72310832268125003</v>
      </c>
      <c r="FH110" s="136">
        <f>IF(SeilBeregnet=0,FH109,((Loa)/Bredde)^FH$3*FH$7)</f>
        <v>1.7444227562973869</v>
      </c>
      <c r="FI110" s="110">
        <f>IF(SeilBeregnet=0,FI109,(Lwl)^FI$3)</f>
        <v>1.8833028354976902</v>
      </c>
      <c r="FJ110" s="110">
        <f>IF(SeilBeregnet=0,"-",FJ$7*(FL:FL+FJ$6)*FO:FO*PropF+ErfaringsF+Dyp_F)</f>
        <v>0.90355196818094274</v>
      </c>
      <c r="FK110" s="144" t="str">
        <f t="shared" si="942"/>
        <v>-</v>
      </c>
      <c r="FL110" s="110">
        <f>(FM:FM*FN:FN)^FL$3</f>
        <v>5.2263437725368229</v>
      </c>
      <c r="FM110" s="136">
        <f>IF(SeilBeregnet=0,FM109,(SeilBeregnet^0.5/(Depl^0.3333))^FM$3)</f>
        <v>2.9960304941389122</v>
      </c>
      <c r="FN110" s="136">
        <f>IF(SeilBeregnet=0,FN109,(Loa/Bredde)^FN$3)</f>
        <v>1.7444227562973869</v>
      </c>
      <c r="FO110" s="110">
        <f>IF(SeilBeregnet=0,FO109,Lwl^FO$3)</f>
        <v>1.8833028354976902</v>
      </c>
      <c r="FQ110">
        <v>0.95</v>
      </c>
      <c r="FR110" s="64">
        <f t="shared" si="240"/>
        <v>1.1305379555960426</v>
      </c>
      <c r="FS110" s="479"/>
      <c r="FT110" s="18"/>
      <c r="FU110" s="481"/>
      <c r="FV110" s="504"/>
      <c r="FW110" s="18"/>
      <c r="FX110" s="18"/>
      <c r="FY110" s="18"/>
      <c r="FZ110" s="18"/>
      <c r="GB110" s="18"/>
      <c r="GC110" s="481"/>
      <c r="GD110" s="8"/>
      <c r="GE110" s="8"/>
      <c r="GF110" s="8"/>
      <c r="GG110" s="8"/>
      <c r="GI110" s="18"/>
      <c r="GJ110" s="18"/>
      <c r="GK110" s="18"/>
      <c r="GL110" s="18"/>
      <c r="GM110" s="18"/>
      <c r="GN110" s="18"/>
      <c r="GO110" s="18"/>
      <c r="GP110" s="18"/>
    </row>
    <row r="111" spans="1:198" ht="15.6" x14ac:dyDescent="0.3">
      <c r="A111" s="62" t="s">
        <v>161</v>
      </c>
      <c r="B111" s="223"/>
      <c r="C111" s="14" t="str">
        <f>C109</f>
        <v>Gaffel</v>
      </c>
      <c r="G111" s="56"/>
      <c r="H111" s="209">
        <f>TBFavrundet</f>
        <v>87.5</v>
      </c>
      <c r="I111" s="65">
        <f>COUNTA(O111:AD111)</f>
        <v>4</v>
      </c>
      <c r="J111" s="228">
        <f>SUM(O111:AD111)</f>
        <v>94.100000000000009</v>
      </c>
      <c r="K111" s="119">
        <f>Seilareal/Depl^0.667/K$7</f>
        <v>0.93204864084140981</v>
      </c>
      <c r="L111" s="119">
        <f>Seilareal/Lwl/Lwl/L$7</f>
        <v>0.90220517737296257</v>
      </c>
      <c r="M111" s="95">
        <f>RiggF</f>
        <v>0.80127523910733245</v>
      </c>
      <c r="N111" s="265">
        <f>StHfaktor</f>
        <v>0.98558065984125853</v>
      </c>
      <c r="O111" s="147"/>
      <c r="P111" s="147"/>
      <c r="Q111" s="147"/>
      <c r="R111" s="169">
        <v>16</v>
      </c>
      <c r="S111" s="147"/>
      <c r="T111" s="169">
        <v>21.5</v>
      </c>
      <c r="U111" s="169">
        <v>43.7</v>
      </c>
      <c r="V111" s="148"/>
      <c r="W111" s="148"/>
      <c r="X111" s="169">
        <v>12.9</v>
      </c>
      <c r="Y111" s="147"/>
      <c r="Z111" s="147"/>
      <c r="AA111" s="147"/>
      <c r="AB111" s="147"/>
      <c r="AC111" s="147"/>
      <c r="AD111" s="147"/>
      <c r="AE111" s="260">
        <f t="shared" si="932"/>
        <v>11.2</v>
      </c>
      <c r="AF111" s="375">
        <f t="shared" ref="AF111:AH111" si="951" xml:space="preserve"> AF110</f>
        <v>0</v>
      </c>
      <c r="AG111" s="377"/>
      <c r="AH111" s="375">
        <f t="shared" si="951"/>
        <v>0</v>
      </c>
      <c r="AI111" s="377"/>
      <c r="AJ111" s="295" t="str">
        <f t="shared" ref="AJ111" si="952" xml:space="preserve"> AJ110</f>
        <v>RS</v>
      </c>
      <c r="AK111" s="47">
        <f>VLOOKUP(AJ111,Skrogform!$1:$1048576,3,FALSE)</f>
        <v>0.97</v>
      </c>
      <c r="AL111" s="66">
        <f t="shared" ref="AL111:AT111" si="953">AL110</f>
        <v>14.15</v>
      </c>
      <c r="AM111" s="66">
        <f t="shared" si="953"/>
        <v>12.58</v>
      </c>
      <c r="AN111" s="66">
        <f t="shared" si="953"/>
        <v>4.6500000000000004</v>
      </c>
      <c r="AO111" s="66">
        <f t="shared" si="953"/>
        <v>2.2999999999999998</v>
      </c>
      <c r="AP111" s="66">
        <f t="shared" si="953"/>
        <v>28</v>
      </c>
      <c r="AQ111" s="66">
        <f t="shared" si="953"/>
        <v>5.5</v>
      </c>
      <c r="AR111" s="66">
        <f t="shared" si="953"/>
        <v>2</v>
      </c>
      <c r="AS111" s="284">
        <f t="shared" si="953"/>
        <v>150</v>
      </c>
      <c r="AT111" s="284">
        <f t="shared" si="953"/>
        <v>1050</v>
      </c>
      <c r="AU111" s="284">
        <f t="shared" ref="AU111:AV111" si="954">AU110</f>
        <v>300</v>
      </c>
      <c r="AV111" s="284">
        <f t="shared" si="954"/>
        <v>300</v>
      </c>
      <c r="AW111" s="284"/>
      <c r="AX111" s="284">
        <f>AX110</f>
        <v>0</v>
      </c>
      <c r="AY111" s="68"/>
      <c r="AZ111" s="68"/>
      <c r="BA111" s="289"/>
      <c r="BB111" s="68"/>
      <c r="BC111" s="179"/>
      <c r="BD111" s="68"/>
      <c r="BE111" s="68"/>
      <c r="BF111" s="67" t="str">
        <f t="shared" ref="BF111:BH111" si="955" xml:space="preserve"> BF110</f>
        <v>Seilrett</v>
      </c>
      <c r="BG111" s="295">
        <f t="shared" si="955"/>
        <v>3</v>
      </c>
      <c r="BH111" s="295">
        <f t="shared" si="955"/>
        <v>90</v>
      </c>
      <c r="BI111" s="47">
        <f t="shared" si="853"/>
        <v>1</v>
      </c>
      <c r="BJ111" s="61"/>
      <c r="BK111" s="61"/>
      <c r="BM111" s="51">
        <f t="shared" si="938"/>
        <v>0</v>
      </c>
      <c r="BN111" s="51">
        <f t="shared" si="938"/>
        <v>0</v>
      </c>
      <c r="BO111" s="51">
        <f t="shared" si="938"/>
        <v>0</v>
      </c>
      <c r="BP111" s="51">
        <f t="shared" si="938"/>
        <v>16</v>
      </c>
      <c r="BQ111" s="51">
        <f t="shared" si="938"/>
        <v>0</v>
      </c>
      <c r="BR111" s="51">
        <f t="shared" si="938"/>
        <v>21.5</v>
      </c>
      <c r="BS111" s="52">
        <f>IF(COUNT(P111:T111)&gt;1,MINA(P111:T111)*BS$9,0)</f>
        <v>-4.8</v>
      </c>
      <c r="BT111" s="88">
        <f t="shared" si="939"/>
        <v>34.96</v>
      </c>
      <c r="BU111" s="88">
        <f t="shared" si="939"/>
        <v>0</v>
      </c>
      <c r="BV111" s="88">
        <f t="shared" si="939"/>
        <v>0</v>
      </c>
      <c r="BW111" s="88">
        <f t="shared" si="939"/>
        <v>7.74</v>
      </c>
      <c r="BX111" s="88">
        <f t="shared" si="939"/>
        <v>0</v>
      </c>
      <c r="BY111" s="88">
        <f t="shared" si="939"/>
        <v>0</v>
      </c>
      <c r="BZ111" s="88">
        <f t="shared" si="939"/>
        <v>0</v>
      </c>
      <c r="CA111" s="88">
        <f t="shared" si="939"/>
        <v>0</v>
      </c>
      <c r="CB111" s="88">
        <f t="shared" si="939"/>
        <v>0</v>
      </c>
      <c r="CC111" s="88">
        <f t="shared" si="939"/>
        <v>0</v>
      </c>
      <c r="CD111" s="103">
        <f>SUM(BM111:CC111)</f>
        <v>75.399999999999991</v>
      </c>
      <c r="CE111" s="52"/>
      <c r="CF111" s="107">
        <f>J111</f>
        <v>94.100000000000009</v>
      </c>
      <c r="CG111" s="104">
        <f>CD111/CF111</f>
        <v>0.80127523910733245</v>
      </c>
      <c r="CH111" s="53">
        <f>Seilareal/Lwl/Lwl</f>
        <v>0.59460470477023364</v>
      </c>
      <c r="CI111" s="119">
        <f>Seilareal/Depl^0.667/K$7</f>
        <v>0.93204864084140981</v>
      </c>
      <c r="CJ111" s="53">
        <f>Seilareal/Lwl/Lwl/SApRS1</f>
        <v>0.90220517737296257</v>
      </c>
      <c r="CK111" s="209"/>
      <c r="CL111" s="209">
        <f>(ROUND(TBF/CL$6,3)*CL$6)*CL$4</f>
        <v>87.5</v>
      </c>
      <c r="CM111" s="110">
        <f t="shared" si="690"/>
        <v>0.87333349003786154</v>
      </c>
      <c r="CN111" s="64">
        <f>IF(SeilBeregnet=0,"-",(SeilBeregnet)^(1/2)*StHfaktor/(Depl+DeplTillegg/1000+Vann/1000+Diesel/1000*0.84)^(1/3))</f>
        <v>2.7935417029496192</v>
      </c>
      <c r="CO111" s="64">
        <f t="shared" si="659"/>
        <v>1.6953446694955856</v>
      </c>
      <c r="CP111" s="64">
        <f t="shared" si="660"/>
        <v>1.8833028354976902</v>
      </c>
      <c r="CQ111" s="110">
        <f t="shared" si="661"/>
        <v>0.98558065984125853</v>
      </c>
      <c r="CR111" s="172" t="str">
        <f>IF(CS111=0,"-",IF(CH111="TBF","-",CR$7*CS111))</f>
        <v>-</v>
      </c>
      <c r="CS111" s="162"/>
      <c r="CT111" s="172" t="str">
        <f>IF(CU111=0,"-",IF(CL111="TBF","-",CT$7*CU111))</f>
        <v>-</v>
      </c>
      <c r="CU111" s="164"/>
      <c r="CV111" s="195" t="s">
        <v>145</v>
      </c>
      <c r="CW111" s="64">
        <v>0.83</v>
      </c>
      <c r="CX111" s="64">
        <v>0.84</v>
      </c>
      <c r="CY111" s="64">
        <v>0.83</v>
      </c>
      <c r="CZ111" s="154">
        <v>0.84</v>
      </c>
      <c r="DA111" s="64">
        <f t="shared" si="854"/>
        <v>2.0499999999999998</v>
      </c>
      <c r="DB111" s="49">
        <f t="shared" si="855"/>
        <v>12.616566099835435</v>
      </c>
      <c r="DC111" s="50">
        <f t="shared" si="856"/>
        <v>0</v>
      </c>
      <c r="DE111" s="110">
        <f>IF(SeilBeregnet=0,"-",DE$7*(DG:DG+DE$6)*DL:DL*PropF+ErfaringsF+Dyp_F)</f>
        <v>0.87580105342208758</v>
      </c>
      <c r="DF111" s="144" t="str">
        <f t="shared" si="948"/>
        <v>-</v>
      </c>
      <c r="DG111" s="110">
        <f t="shared" si="858"/>
        <v>4.6043033521706631</v>
      </c>
      <c r="DH111" s="136">
        <f>IF(SeilBeregnet=0,DH110,(SeilBeregnet^0.5/(Depl^0.3333))^DH$3*DH$7)</f>
        <v>2.859880595873276</v>
      </c>
      <c r="DI111" s="136">
        <f>IF(SeilBeregnet=0,DI110,(SeilBeregnet^0.5/Lwl)^DI$3*DI$7)</f>
        <v>0</v>
      </c>
      <c r="DJ111" s="136">
        <f>IF(SeilBeregnet=0,DJ110,(0.1*Loa/Depl^0.3333)^DJ$3*DJ$7)</f>
        <v>0</v>
      </c>
      <c r="DK111" s="136">
        <f>IF(SeilBeregnet=0,DK110,((Loa)/Bredde)^DK$3*DK$7)</f>
        <v>1.7444227562973869</v>
      </c>
      <c r="DL111" s="110">
        <f>IF(SeilBeregnet=0,DL110,(Lwl)^DL$3)</f>
        <v>1.8833028354976902</v>
      </c>
      <c r="DM111" s="136">
        <f>IF(SeilBeregnet=0,DM110,(Dypg/Loa)^DM$3*5*DM$7)</f>
        <v>2.0158383467636201</v>
      </c>
      <c r="DO111" s="110">
        <f t="shared" si="931"/>
        <v>0.87314153229817337</v>
      </c>
      <c r="DP111" s="110">
        <f t="shared" si="859"/>
        <v>0.86299491615217372</v>
      </c>
      <c r="DR111" s="110">
        <f t="shared" si="860"/>
        <v>0.86663710139500982</v>
      </c>
      <c r="DS111" s="125" t="str">
        <f t="shared" si="949"/>
        <v>-</v>
      </c>
      <c r="DT111" s="110">
        <f t="shared" si="862"/>
        <v>0.87088622357774848</v>
      </c>
      <c r="DU111" s="125" t="str">
        <f t="shared" si="950"/>
        <v>-</v>
      </c>
      <c r="DV111" s="110">
        <f t="shared" si="214"/>
        <v>2.8595947189519153</v>
      </c>
      <c r="DW111" s="110">
        <f t="shared" si="215"/>
        <v>2.3255386279619175</v>
      </c>
      <c r="DX111" s="110">
        <f>IF(SeilBeregnet=0,DX110,((Loa+Lwl)/Bredde)^DX$3)</f>
        <v>1.5484119040157207</v>
      </c>
      <c r="DZ111" s="110">
        <f t="shared" si="864"/>
        <v>0.87217566261036872</v>
      </c>
      <c r="EB111" s="110">
        <f t="shared" si="217"/>
        <v>2.8595947189519153</v>
      </c>
      <c r="EC111" s="110">
        <f>IF(SeilBeregnet=0,EC110,Lwl^EC$3)</f>
        <v>2.3257152901382043</v>
      </c>
      <c r="ED111" s="110">
        <f>IF(SeilBeregnet=0,ED110,((Loa+Lwl)/Bredde)^ED$3)</f>
        <v>1.7912519812070522</v>
      </c>
      <c r="EE111" s="110">
        <f t="shared" si="865"/>
        <v>0.87152088216453893</v>
      </c>
      <c r="EG111" s="110">
        <f>IF(SeilBeregnet=0,EG110,(EH111*EI111)^EG$3)</f>
        <v>4.4278305034856347</v>
      </c>
      <c r="EH111" s="110">
        <f t="shared" si="219"/>
        <v>2.8595947189519153</v>
      </c>
      <c r="EI111" s="110">
        <f>IF(SeilBeregnet=0,EI110,((Loa+Lwl)/Bredde)^EI$3)</f>
        <v>1.5484119040157207</v>
      </c>
      <c r="EJ111" s="110">
        <f>IF(SeilBeregnet=0,EJ110,Lwl^EJ$3)</f>
        <v>1.8833028354976902</v>
      </c>
      <c r="EK111" s="110">
        <f>IF(SeilBeregnet=0,"-",EK$7*(EK$4*EM:EM+EK$6)*EP:EP*PropF+ErfaringsF+Dyp_F)</f>
        <v>0.87227949530422488</v>
      </c>
      <c r="EM111" s="110">
        <f>IF(SeilBeregnet=0,EM110,(EN:EN*EO:EO)^EM$3)</f>
        <v>1.6820023088490239</v>
      </c>
      <c r="EN111" s="110">
        <f t="shared" si="220"/>
        <v>2.8595947189519153</v>
      </c>
      <c r="EO111" s="110">
        <f>IF(SeilBeregnet=0,EO110,((Loa+Lwl)/Bredde/6)^EO$3)</f>
        <v>0.98934710860368591</v>
      </c>
      <c r="EP111" s="110">
        <f>IF(SeilBeregnet=0,EP110,(Lwl*0.7+Loa*0.3)^EP$3)</f>
        <v>1.9006885016012918</v>
      </c>
      <c r="EQ111" s="110">
        <f>IF(SeilBeregnet=0,"-",EQ$7*(ES:ES+EQ$6)*EV:EV*PropF+ErfaringsF+Dyp_F)</f>
        <v>0.87485726994361279</v>
      </c>
      <c r="ES111" s="110">
        <f>(ET:ET*EU:EU)^ES$3</f>
        <v>1.6820863825853332</v>
      </c>
      <c r="ET111" s="110">
        <f t="shared" si="221"/>
        <v>2.859880595873276</v>
      </c>
      <c r="EU111" s="110">
        <f>IF(SeilBeregnet=0,EU110,((Loa+Lwl)/Bredde/6)^EU$3)</f>
        <v>0.98934710860368591</v>
      </c>
      <c r="EV111" s="110">
        <f>IF(SeilBeregnet=0,EV110,(Lwl*0.7+Loa*0.3)^EV$3)</f>
        <v>1.9006885016012918</v>
      </c>
      <c r="EW111" s="110">
        <f>IF(SeilBeregnet=0,"-",EW$7*(EY:EY+EW$6)*FB:FB*PropF+ErfaringsF+Dyp_F)</f>
        <v>0.87716748832259106</v>
      </c>
      <c r="EX111" s="144" t="str">
        <f t="shared" si="940"/>
        <v>-</v>
      </c>
      <c r="EY111" s="110">
        <f>(EZ:EZ*FA:FA)^EY$3</f>
        <v>2.7992731520462697</v>
      </c>
      <c r="EZ111" s="136">
        <f>IF(SeilBeregnet=0,EZ110,(SeilBeregnet^0.5/(Depl^0.3333))^EZ$3)</f>
        <v>2.859880595873276</v>
      </c>
      <c r="FA111" s="136">
        <f>IF(SeilBeregnet=0,FA110,((Loa+Lwl)/Bredde/6)^FA$3)</f>
        <v>0.97880770130247352</v>
      </c>
      <c r="FB111" s="110">
        <f>IF(SeilBeregnet=0,FB110,(Lwl*0.07+Loa*0.03)^FB$3)</f>
        <v>1.0688356907645293</v>
      </c>
      <c r="FC111" s="110">
        <f>IF(SeilBeregnet=0,"-",FC$7*(FE:FE+FC$6)*FI:FI*PropF+ErfaringsF+Dyp_F)</f>
        <v>0.86684081107037059</v>
      </c>
      <c r="FD111" s="144" t="str">
        <f t="shared" si="941"/>
        <v>-</v>
      </c>
      <c r="FE111" s="110">
        <f>(FF:FF+FG:FG+FH:FH)^FE$3+FE$7</f>
        <v>4.7945511533182747</v>
      </c>
      <c r="FF111" s="136">
        <f>IF(SeilBeregnet=0,FF110,(SeilBeregnet^0.5/(Depl^0.3333))^FF$3)</f>
        <v>2.859880595873276</v>
      </c>
      <c r="FG111" s="136">
        <f>IF(SeilBeregnet=0,FG110,(SeilBeregnet^0.5/Lwl*FG$7)^FG$3)</f>
        <v>0.69024780114761231</v>
      </c>
      <c r="FH111" s="136">
        <f>IF(SeilBeregnet=0,FH110,((Loa)/Bredde)^FH$3*FH$7)</f>
        <v>1.7444227562973869</v>
      </c>
      <c r="FI111" s="110">
        <f>IF(SeilBeregnet=0,FI110,(Lwl)^FI$3)</f>
        <v>1.8833028354976902</v>
      </c>
      <c r="FJ111" s="110">
        <f>IF(SeilBeregnet=0,"-",FJ$7*(FL:FL+FJ$6)*FO:FO*PropF+ErfaringsF+Dyp_F)</f>
        <v>0.88029288624738311</v>
      </c>
      <c r="FK111" s="144" t="str">
        <f t="shared" si="942"/>
        <v>-</v>
      </c>
      <c r="FL111" s="110">
        <f>(FM:FM*FN:FN)^FL$3</f>
        <v>4.9888407917346731</v>
      </c>
      <c r="FM111" s="136">
        <f>IF(SeilBeregnet=0,FM110,(SeilBeregnet^0.5/(Depl^0.3333))^FM$3)</f>
        <v>2.859880595873276</v>
      </c>
      <c r="FN111" s="136">
        <f>IF(SeilBeregnet=0,FN110,(Loa/Bredde)^FN$3)</f>
        <v>1.7444227562973869</v>
      </c>
      <c r="FO111" s="110">
        <f>IF(SeilBeregnet=0,FO110,Lwl^FO$3)</f>
        <v>1.8833028354976902</v>
      </c>
      <c r="FQ111">
        <v>0.95</v>
      </c>
      <c r="FR111" s="64">
        <f t="shared" si="240"/>
        <v>1.1077572466545349</v>
      </c>
      <c r="FS111" s="479"/>
      <c r="FT111" s="18"/>
      <c r="FU111" s="481"/>
      <c r="FV111" s="504"/>
      <c r="FW111" s="18"/>
      <c r="FX111" s="18"/>
      <c r="FY111" s="18"/>
      <c r="FZ111" s="18"/>
      <c r="GB111" s="18"/>
      <c r="GC111" s="481"/>
      <c r="GD111" s="8"/>
      <c r="GE111" s="8"/>
      <c r="GF111" s="8"/>
      <c r="GG111" s="8"/>
      <c r="GI111" s="18"/>
      <c r="GJ111" s="18"/>
      <c r="GK111" s="18"/>
      <c r="GL111" s="18"/>
      <c r="GM111" s="18"/>
      <c r="GN111" s="18"/>
      <c r="GO111" s="18"/>
      <c r="GP111" s="18"/>
    </row>
    <row r="112" spans="1:198" ht="15.6" x14ac:dyDescent="0.3">
      <c r="A112" s="54" t="s">
        <v>222</v>
      </c>
      <c r="B112" s="223">
        <f t="shared" ref="B112" si="956">Loa/0.3048</f>
        <v>47.080052493438316</v>
      </c>
      <c r="C112" s="55" t="s">
        <v>22</v>
      </c>
      <c r="D112" s="55"/>
      <c r="E112" s="55"/>
      <c r="F112" s="55"/>
      <c r="G112" s="69" t="s">
        <v>23</v>
      </c>
      <c r="H112" s="209"/>
      <c r="I112" s="126" t="str">
        <f>A112</f>
        <v>RS 14 Stavanger</v>
      </c>
      <c r="J112" s="229"/>
      <c r="K112" s="119"/>
      <c r="L112" s="119"/>
      <c r="M112" s="95"/>
      <c r="N112" s="265"/>
      <c r="O112" s="169"/>
      <c r="P112" s="169"/>
      <c r="Q112" s="169">
        <v>22</v>
      </c>
      <c r="R112" s="147"/>
      <c r="S112" s="169"/>
      <c r="T112" s="169">
        <v>20</v>
      </c>
      <c r="U112" s="169">
        <v>43</v>
      </c>
      <c r="V112" s="169"/>
      <c r="W112" s="169"/>
      <c r="X112" s="169">
        <v>11</v>
      </c>
      <c r="Y112" s="169">
        <v>14</v>
      </c>
      <c r="Z112" s="169"/>
      <c r="AA112" s="169"/>
      <c r="AB112" s="169"/>
      <c r="AC112" s="169"/>
      <c r="AD112" s="169"/>
      <c r="AE112" s="270">
        <v>10.199999999999999</v>
      </c>
      <c r="AF112" s="296"/>
      <c r="AG112" s="377"/>
      <c r="AH112" s="296"/>
      <c r="AI112" s="377"/>
      <c r="AJ112" s="296" t="s">
        <v>261</v>
      </c>
      <c r="AK112" s="47">
        <f>VLOOKUP(AJ112,Skrogform!$1:$1048576,3,FALSE)</f>
        <v>0.97</v>
      </c>
      <c r="AL112" s="57">
        <v>14.35</v>
      </c>
      <c r="AM112" s="57">
        <v>12.5</v>
      </c>
      <c r="AN112" s="57">
        <v>4.6500000000000004</v>
      </c>
      <c r="AO112" s="57">
        <v>2.35</v>
      </c>
      <c r="AP112" s="57">
        <v>31</v>
      </c>
      <c r="AQ112" s="57">
        <v>6.5</v>
      </c>
      <c r="AR112" s="57">
        <v>4.5</v>
      </c>
      <c r="AS112" s="281">
        <v>85</v>
      </c>
      <c r="AT112" s="281">
        <v>500</v>
      </c>
      <c r="AU112" s="281">
        <v>100</v>
      </c>
      <c r="AV112" s="281">
        <v>100</v>
      </c>
      <c r="AW112" s="270">
        <f>Depl+Diesel/1000+Vann/1000</f>
        <v>31.200000000000003</v>
      </c>
      <c r="AX112" s="281"/>
      <c r="AY112" s="98">
        <f>Bredde/(Loa+Lwl)*2</f>
        <v>0.34636871508379891</v>
      </c>
      <c r="AZ112" s="98">
        <f>(Kjøl+Ballast)/Depl</f>
        <v>0.35483870967741937</v>
      </c>
      <c r="BA112" s="288">
        <f>BA$7*((Depl-Kjøl-Ballast-VektMotor/1000-VektAnnet/1000)/Loa/Lwl/Bredde)</f>
        <v>1.0115465136472301</v>
      </c>
      <c r="BB112" s="98">
        <f>BB$7*(Depl/Loa/Lwl/Lwl)</f>
        <v>1.0381925932162415</v>
      </c>
      <c r="BC112" s="178">
        <f>BC$7*(Depl/Loa/Lwl/Bredde)</f>
        <v>1.0315904145630381</v>
      </c>
      <c r="BD112" s="98">
        <f>BD$7*Bredde/(Loa+Lwl)*2</f>
        <v>0.98808193668528865</v>
      </c>
      <c r="BE112" s="98">
        <f>BE$7*(Dypg/Lwl)</f>
        <v>1.0282782608695653</v>
      </c>
      <c r="BF112" s="70" t="s">
        <v>24</v>
      </c>
      <c r="BG112" s="294">
        <v>3</v>
      </c>
      <c r="BH112" s="294">
        <v>65</v>
      </c>
      <c r="BI112" s="47">
        <f t="shared" si="853"/>
        <v>1</v>
      </c>
      <c r="BJ112" s="61"/>
      <c r="BK112" s="61"/>
      <c r="BM112" s="214"/>
      <c r="BN112" s="214" t="str">
        <f>$A112</f>
        <v>RS 14 Stavanger</v>
      </c>
      <c r="BO112" s="10"/>
      <c r="BP112" s="10"/>
      <c r="BQ112" s="10"/>
      <c r="BR112" s="10"/>
      <c r="BS112" s="52"/>
      <c r="BT112" s="214" t="str">
        <f>$A112</f>
        <v>RS 14 Stavanger</v>
      </c>
      <c r="BU112" s="10"/>
      <c r="BV112" s="10"/>
      <c r="BW112" s="10"/>
      <c r="BX112" s="10"/>
      <c r="BY112" s="10"/>
      <c r="BZ112" s="10"/>
      <c r="CA112" s="10"/>
      <c r="CB112" s="10"/>
      <c r="CC112" s="10"/>
      <c r="CD112" s="214"/>
      <c r="CE112" s="10"/>
      <c r="CF112" s="214" t="str">
        <f>$A112</f>
        <v>RS 14 Stavanger</v>
      </c>
      <c r="CG112" s="212"/>
      <c r="CH112" s="212"/>
      <c r="CI112" s="119"/>
      <c r="CJ112" s="212"/>
      <c r="CK112" s="208"/>
      <c r="CL112" s="208" t="s">
        <v>26</v>
      </c>
      <c r="CM112" s="110" t="str">
        <f t="shared" si="690"/>
        <v>-</v>
      </c>
      <c r="CN112" s="64" t="str">
        <f>IF(SeilBeregnet=0,"-",(SeilBeregnet)^(1/2)*StHfaktor/(Depl+DeplTillegg/1000+Vann/1000+Diesel/1000*0.84)^(1/3))</f>
        <v>-</v>
      </c>
      <c r="CO112" s="64" t="str">
        <f t="shared" si="659"/>
        <v>-</v>
      </c>
      <c r="CP112" s="64" t="str">
        <f t="shared" si="660"/>
        <v>-</v>
      </c>
      <c r="CQ112" s="110" t="str">
        <f t="shared" si="661"/>
        <v>-</v>
      </c>
      <c r="CR112" s="172"/>
      <c r="CS112" s="162">
        <v>0.87</v>
      </c>
      <c r="CT112" s="172"/>
      <c r="CU112" s="164">
        <v>1.17</v>
      </c>
      <c r="CV112" s="195" t="s">
        <v>145</v>
      </c>
      <c r="CW112" s="30" t="s">
        <v>26</v>
      </c>
      <c r="CX112" s="30" t="s">
        <v>26</v>
      </c>
      <c r="CY112" s="30" t="s">
        <v>26</v>
      </c>
      <c r="CZ112" s="153">
        <v>2022</v>
      </c>
      <c r="DA112" s="64" t="str">
        <f t="shared" si="854"/>
        <v>-</v>
      </c>
      <c r="DB112" s="49">
        <f t="shared" si="855"/>
        <v>12.947658402203857</v>
      </c>
      <c r="DC112" s="50">
        <f t="shared" si="856"/>
        <v>0</v>
      </c>
      <c r="DE112" s="110" t="str">
        <f>IF(SeilBeregnet=0,"-",DE$7*(DG:DG+DE$6)*DL:DL*PropF+ErfaringsF+Dyp_F)</f>
        <v>-</v>
      </c>
      <c r="DF112" s="144" t="str">
        <f>IF($DQ112=0,"-",(DE112-$DO112)*100)</f>
        <v>-</v>
      </c>
      <c r="DG112" s="110" t="e">
        <f t="shared" si="858"/>
        <v>#REF!</v>
      </c>
      <c r="DH112" s="136" t="e">
        <f>IF(SeilBeregnet=0,#REF!,(SeilBeregnet^0.5/(Depl^0.3333))^DH$3*DH$7)</f>
        <v>#REF!</v>
      </c>
      <c r="DI112" s="136" t="e">
        <f>IF(SeilBeregnet=0,#REF!,(SeilBeregnet^0.5/Lwl)^DI$3*DI$7)</f>
        <v>#REF!</v>
      </c>
      <c r="DJ112" s="136" t="e">
        <f>IF(SeilBeregnet=0,#REF!,(0.1*Loa/Depl^0.3333)^DJ$3*DJ$7)</f>
        <v>#REF!</v>
      </c>
      <c r="DK112" s="136" t="e">
        <f>IF(SeilBeregnet=0,#REF!,((Loa)/Bredde)^DK$3*DK$7)</f>
        <v>#REF!</v>
      </c>
      <c r="DL112" s="110" t="e">
        <f>IF(SeilBeregnet=0,#REF!,(Lwl)^DL$3)</f>
        <v>#REF!</v>
      </c>
      <c r="DM112" s="136" t="e">
        <f>IF(SeilBeregnet=0,#REF!,(Dypg/Loa)^DM$3*5*DM$7)</f>
        <v>#REF!</v>
      </c>
      <c r="DO112" s="110" t="str">
        <f t="shared" si="931"/>
        <v>-</v>
      </c>
      <c r="DP112" s="110" t="str">
        <f t="shared" si="859"/>
        <v>-</v>
      </c>
      <c r="DR112" s="110" t="str">
        <f t="shared" si="860"/>
        <v>-</v>
      </c>
      <c r="DT112" s="110" t="str">
        <f t="shared" si="862"/>
        <v>-</v>
      </c>
      <c r="DV112" s="110">
        <f>IF(SeilBeregnet=0,DV107,SeilBeregnet^0.5/Depl^0.33333)</f>
        <v>2.6804073938957318</v>
      </c>
      <c r="DW112" s="110">
        <f>IF(SeilBeregnet=0,DW107,Lwl^0.3333)</f>
        <v>2.3583450504696262</v>
      </c>
      <c r="DX112" s="110">
        <f>IF(SeilBeregnet=0,DX107,((Loa+Lwl)/Bredde)^DX$3)</f>
        <v>1.6253987357541337</v>
      </c>
      <c r="DZ112" s="110" t="str">
        <f t="shared" si="864"/>
        <v>-</v>
      </c>
      <c r="EB112" s="110">
        <f>IF(SeilBeregnet=0,EB107,SeilBeregnet^0.5/Depl^0.33333)</f>
        <v>2.6804073938957318</v>
      </c>
      <c r="EC112" s="110">
        <f>IF(SeilBeregnet=0,EC107,Lwl^EC$3)</f>
        <v>2.3585271786549109</v>
      </c>
      <c r="ED112" s="110">
        <f>IF(SeilBeregnet=0,ED107,((Loa+Lwl)/Bredde)^ED$3)</f>
        <v>1.9109607287698072</v>
      </c>
      <c r="EE112" s="110" t="str">
        <f t="shared" si="865"/>
        <v>-</v>
      </c>
      <c r="EG112" s="110">
        <f>IF(SeilBeregnet=0,EG107,(EH112*EI112)^EG$3)</f>
        <v>4.3567307893441551</v>
      </c>
      <c r="EH112" s="110">
        <f>IF(SeilBeregnet=0,EH107,SeilBeregnet^0.5/Depl^0.33333)</f>
        <v>2.6804073938957318</v>
      </c>
      <c r="EI112" s="110">
        <f>IF(SeilBeregnet=0,EI107,((Loa+Lwl)/Bredde)^EI$3)</f>
        <v>1.6253987357541337</v>
      </c>
      <c r="EJ112" s="110">
        <f>IF(SeilBeregnet=0,EJ107,Lwl^EJ$3)</f>
        <v>1.9031957480130537</v>
      </c>
      <c r="EK112" s="110" t="str">
        <f>IF(SeilBeregnet=0,"-",EK$7*(EK$4*EM:EM+EK$6)*EP:EP*PropF+ErfaringsF+Dyp_F)</f>
        <v>-</v>
      </c>
      <c r="EM112" s="110">
        <f>IF(SeilBeregnet=0,EM107,(EN:EN*EO:EO)^EM$3)</f>
        <v>1.6684433148623503</v>
      </c>
      <c r="EN112" s="110">
        <f>IF(SeilBeregnet=0,EN107,SeilBeregnet^0.5/Depl^0.33333)</f>
        <v>2.6804073938957318</v>
      </c>
      <c r="EO112" s="110">
        <f>IF(SeilBeregnet=0,EO107,((Loa+Lwl)/Bredde/6)^EO$3)</f>
        <v>1.038537313860713</v>
      </c>
      <c r="EP112" s="110">
        <f>IF(SeilBeregnet=0,EP107,(Lwl*0.7+Loa*0.3)^EP$3)</f>
        <v>1.9175033970197257</v>
      </c>
      <c r="EQ112" s="110" t="str">
        <f>IF(SeilBeregnet=0,"-",EQ$7*(ES:ES+EQ$6)*EV:EV*PropF+ErfaringsF+Dyp_F)</f>
        <v>-</v>
      </c>
      <c r="ES112" s="110">
        <f>(ET:ET*EU:EU)^ES$3</f>
        <v>1.6685311993945928</v>
      </c>
      <c r="ET112" s="110">
        <f>IF(SeilBeregnet=0,ET107,SeilBeregnet^0.5/Depl^0.3333)</f>
        <v>2.6806897799403897</v>
      </c>
      <c r="EU112" s="110">
        <f>IF(SeilBeregnet=0,EU107,((Loa+Lwl)/Bredde/6)^EU$3)</f>
        <v>1.038537313860713</v>
      </c>
      <c r="EV112" s="110">
        <f>IF(SeilBeregnet=0,EV107,(Lwl*0.7+Loa*0.3)^EV$3)</f>
        <v>1.9175033970197257</v>
      </c>
      <c r="EW112" s="110" t="str">
        <f>IF(SeilBeregnet=0,"-",EW$7*(EY:EY+EW$6)*FB:FB*PropF+ErfaringsF+Dyp_F)</f>
        <v>-</v>
      </c>
      <c r="EX112" s="144" t="str">
        <f>IF($DQ112=0,"-",(EW112-$DO112)*100)</f>
        <v>-</v>
      </c>
      <c r="EY112" s="110">
        <f>(EZ:EZ*FA:FA)^EY$3</f>
        <v>2.8912841049947824</v>
      </c>
      <c r="EZ112" s="136">
        <f>IF(SeilBeregnet=0,EZ107,(SeilBeregnet^0.5/(Depl^0.3333))^EZ$3)</f>
        <v>2.6806897799403897</v>
      </c>
      <c r="FA112" s="136">
        <f>IF(SeilBeregnet=0,FA107,((Loa+Lwl)/Bredde/6)^FA$3)</f>
        <v>1.0785597522810251</v>
      </c>
      <c r="FB112" s="110">
        <f>IF(SeilBeregnet=0,FB107,(Lwl*0.07+Loa*0.03)^FB$3)</f>
        <v>1.0782914013370686</v>
      </c>
      <c r="FC112" s="110" t="str">
        <f>IF(SeilBeregnet=0,"-",FC$7*(FE:FE+FC$6)*FI:FI*PropF+ErfaringsF+Dyp_F)</f>
        <v>-</v>
      </c>
      <c r="FD112" s="144" t="str">
        <f>IF($DQ112=0,"-",(FC112-$DO112)*100)</f>
        <v>-</v>
      </c>
      <c r="FE112" s="110">
        <f>(FF:FF+FG:FG+FH:FH)^FE$3+FE$7</f>
        <v>4.7519216681374337</v>
      </c>
      <c r="FF112" s="136">
        <f>IF(SeilBeregnet=0,FF107,(SeilBeregnet^0.5/(Depl^0.3333))^FF$3)</f>
        <v>2.6806897799403897</v>
      </c>
      <c r="FG112" s="136">
        <f>IF(SeilBeregnet=0,FG107,(SeilBeregnet^0.5/Lwl*FG$7)^FG$3)</f>
        <v>0.65858245662280324</v>
      </c>
      <c r="FH112" s="136">
        <f>IF(SeilBeregnet=0,FH107,((Loa)/Bredde)^FH$3*FH$7)</f>
        <v>1.9126494315742406</v>
      </c>
      <c r="FI112" s="110">
        <f>IF(SeilBeregnet=0,FI107,(Lwl)^FI$3)</f>
        <v>1.9031957480130537</v>
      </c>
      <c r="FJ112" s="110" t="str">
        <f>IF(SeilBeregnet=0,"-",FJ$7*(FL:FL+FJ$6)*FO:FO*PropF+ErfaringsF+Dyp_F)</f>
        <v>-</v>
      </c>
      <c r="FK112" s="144" t="str">
        <f>IF($DQ112=0,"-",(FJ112-$DO112)*100)</f>
        <v>-</v>
      </c>
      <c r="FL112" s="110">
        <f>(FM:FM*FN:FN)^FL$3</f>
        <v>5.1272197838298625</v>
      </c>
      <c r="FM112" s="136">
        <f>IF(SeilBeregnet=0,FM107,(SeilBeregnet^0.5/(Depl^0.3333))^FM$3)</f>
        <v>2.6806897799403897</v>
      </c>
      <c r="FN112" s="136">
        <f>IF(SeilBeregnet=0,FN107,(Loa/Bredde)^FN$3)</f>
        <v>1.9126494315742406</v>
      </c>
      <c r="FO112" s="110">
        <f>IF(SeilBeregnet=0,FO107,Lwl^FO$3)</f>
        <v>1.9031957480130537</v>
      </c>
      <c r="FQ112">
        <v>0.95</v>
      </c>
      <c r="FR112" s="64" t="str">
        <f t="shared" si="240"/>
        <v>-</v>
      </c>
      <c r="FS112" s="480"/>
      <c r="FT112" s="59"/>
      <c r="FU112" s="475"/>
      <c r="FV112" s="77"/>
      <c r="FW112" s="59"/>
      <c r="FX112" s="59"/>
      <c r="FY112" s="59"/>
      <c r="FZ112" s="59"/>
      <c r="GB112" s="59" t="s">
        <v>522</v>
      </c>
      <c r="GC112" s="475" t="s">
        <v>522</v>
      </c>
      <c r="GD112" s="60" t="s">
        <v>522</v>
      </c>
      <c r="GE112" s="60" t="s">
        <v>522</v>
      </c>
      <c r="GF112" s="60" t="s">
        <v>522</v>
      </c>
      <c r="GG112" s="60" t="s">
        <v>522</v>
      </c>
      <c r="GI112" s="59"/>
      <c r="GJ112" s="59"/>
      <c r="GK112" s="59"/>
      <c r="GL112" s="59"/>
      <c r="GM112" s="59"/>
      <c r="GN112" s="59"/>
      <c r="GO112" s="59"/>
      <c r="GP112" s="59"/>
    </row>
    <row r="113" spans="1:198" ht="15.6" x14ac:dyDescent="0.3">
      <c r="A113" s="62" t="s">
        <v>27</v>
      </c>
      <c r="B113" s="223"/>
      <c r="C113" s="63" t="str">
        <f>C112</f>
        <v>Gaffel</v>
      </c>
      <c r="D113" s="63"/>
      <c r="E113" s="63"/>
      <c r="F113" s="63"/>
      <c r="G113" s="56"/>
      <c r="H113" s="209">
        <f>TBFavrundet</f>
        <v>87.999999999999986</v>
      </c>
      <c r="I113" s="65">
        <f>COUNTA(O113:AD113)</f>
        <v>5</v>
      </c>
      <c r="J113" s="228">
        <f>SUM(O113:AD113)</f>
        <v>110</v>
      </c>
      <c r="K113" s="119">
        <f>Seilareal/Depl^0.667/K$7</f>
        <v>1.0180234835494626</v>
      </c>
      <c r="L113" s="119">
        <f>Seilareal/Lwl/Lwl/L$7</f>
        <v>1.0681927670182167</v>
      </c>
      <c r="M113" s="95">
        <f>RiggF</f>
        <v>0.76363636363636367</v>
      </c>
      <c r="N113" s="265">
        <f>StHfaktor</f>
        <v>0.97490269252607475</v>
      </c>
      <c r="O113" s="147"/>
      <c r="P113" s="147"/>
      <c r="Q113" s="169">
        <v>22</v>
      </c>
      <c r="R113" s="147"/>
      <c r="S113" s="147"/>
      <c r="T113" s="169">
        <v>20</v>
      </c>
      <c r="U113" s="169">
        <v>43</v>
      </c>
      <c r="V113" s="148"/>
      <c r="W113" s="148"/>
      <c r="X113" s="169">
        <v>11</v>
      </c>
      <c r="Y113" s="169">
        <v>14</v>
      </c>
      <c r="Z113" s="147"/>
      <c r="AA113" s="147"/>
      <c r="AB113" s="147"/>
      <c r="AC113" s="147"/>
      <c r="AD113" s="147"/>
      <c r="AE113" s="260">
        <f t="shared" ref="AE113" si="957">AE112</f>
        <v>10.199999999999999</v>
      </c>
      <c r="AF113" s="375">
        <f t="shared" ref="AF113:AH113" si="958" xml:space="preserve"> AF112</f>
        <v>0</v>
      </c>
      <c r="AG113" s="377"/>
      <c r="AH113" s="375">
        <f t="shared" si="958"/>
        <v>0</v>
      </c>
      <c r="AI113" s="377"/>
      <c r="AJ113" s="295" t="str">
        <f t="shared" ref="AJ113" si="959" xml:space="preserve"> AJ112</f>
        <v>RS</v>
      </c>
      <c r="AK113" s="47">
        <f>VLOOKUP(AJ113,Skrogform!$1:$1048576,3,FALSE)</f>
        <v>0.97</v>
      </c>
      <c r="AL113" s="66">
        <f t="shared" ref="AL113:AT113" si="960">AL112</f>
        <v>14.35</v>
      </c>
      <c r="AM113" s="66">
        <f t="shared" si="960"/>
        <v>12.5</v>
      </c>
      <c r="AN113" s="66">
        <f t="shared" si="960"/>
        <v>4.6500000000000004</v>
      </c>
      <c r="AO113" s="66">
        <f t="shared" si="960"/>
        <v>2.35</v>
      </c>
      <c r="AP113" s="66">
        <f t="shared" si="960"/>
        <v>31</v>
      </c>
      <c r="AQ113" s="66">
        <f t="shared" si="960"/>
        <v>6.5</v>
      </c>
      <c r="AR113" s="66">
        <f t="shared" si="960"/>
        <v>4.5</v>
      </c>
      <c r="AS113" s="284">
        <f t="shared" si="960"/>
        <v>85</v>
      </c>
      <c r="AT113" s="284">
        <f t="shared" si="960"/>
        <v>500</v>
      </c>
      <c r="AU113" s="284">
        <f t="shared" ref="AU113:AV113" si="961">AU112</f>
        <v>100</v>
      </c>
      <c r="AV113" s="284">
        <f t="shared" si="961"/>
        <v>100</v>
      </c>
      <c r="AW113" s="284"/>
      <c r="AX113" s="284">
        <f>AX112</f>
        <v>0</v>
      </c>
      <c r="AY113" s="68"/>
      <c r="AZ113" s="68"/>
      <c r="BA113" s="289"/>
      <c r="BB113" s="68"/>
      <c r="BC113" s="179"/>
      <c r="BD113" s="68"/>
      <c r="BE113" s="68"/>
      <c r="BF113" s="67" t="str">
        <f t="shared" ref="BF113:BH113" si="962" xml:space="preserve"> BF112</f>
        <v>Seilrett</v>
      </c>
      <c r="BG113" s="295">
        <f t="shared" si="962"/>
        <v>3</v>
      </c>
      <c r="BH113" s="295">
        <f t="shared" si="962"/>
        <v>65</v>
      </c>
      <c r="BI113" s="47">
        <f t="shared" si="853"/>
        <v>1</v>
      </c>
      <c r="BJ113" s="61"/>
      <c r="BK113" s="61"/>
      <c r="BM113" s="51">
        <f t="shared" ref="BM113:BR114" si="963">IF(O113=0,0,O113*BM$9)</f>
        <v>0</v>
      </c>
      <c r="BN113" s="51">
        <f t="shared" si="963"/>
        <v>0</v>
      </c>
      <c r="BO113" s="51">
        <f t="shared" si="963"/>
        <v>22</v>
      </c>
      <c r="BP113" s="51">
        <f t="shared" si="963"/>
        <v>0</v>
      </c>
      <c r="BQ113" s="51">
        <f t="shared" si="963"/>
        <v>0</v>
      </c>
      <c r="BR113" s="51">
        <f t="shared" si="963"/>
        <v>20</v>
      </c>
      <c r="BS113" s="52">
        <f>IF(COUNT(P113:T113)&gt;1,MINA(P113:T113)*BS$9,0)</f>
        <v>-6</v>
      </c>
      <c r="BT113" s="88">
        <f t="shared" ref="BT113:CC114" si="964">IF(U113=0,0,U113*BT$9)</f>
        <v>34.4</v>
      </c>
      <c r="BU113" s="88">
        <f t="shared" si="964"/>
        <v>0</v>
      </c>
      <c r="BV113" s="88">
        <f t="shared" si="964"/>
        <v>0</v>
      </c>
      <c r="BW113" s="88">
        <f t="shared" si="964"/>
        <v>6.6</v>
      </c>
      <c r="BX113" s="88">
        <f t="shared" si="964"/>
        <v>7</v>
      </c>
      <c r="BY113" s="88">
        <f t="shared" si="964"/>
        <v>0</v>
      </c>
      <c r="BZ113" s="88">
        <f t="shared" si="964"/>
        <v>0</v>
      </c>
      <c r="CA113" s="88">
        <f t="shared" si="964"/>
        <v>0</v>
      </c>
      <c r="CB113" s="88">
        <f t="shared" si="964"/>
        <v>0</v>
      </c>
      <c r="CC113" s="88">
        <f t="shared" si="964"/>
        <v>0</v>
      </c>
      <c r="CD113" s="103">
        <f>SUM(BM113:CC113)</f>
        <v>84</v>
      </c>
      <c r="CE113" s="52"/>
      <c r="CF113" s="107">
        <f>J113</f>
        <v>110</v>
      </c>
      <c r="CG113" s="104">
        <f>CD113/CF113</f>
        <v>0.76363636363636367</v>
      </c>
      <c r="CH113" s="53">
        <f>Seilareal/Lwl/Lwl</f>
        <v>0.70400000000000007</v>
      </c>
      <c r="CI113" s="119">
        <f>Seilareal/Depl^0.667/K$7</f>
        <v>1.0180234835494626</v>
      </c>
      <c r="CJ113" s="53">
        <f>Seilareal/Lwl/Lwl/SApRS1</f>
        <v>1.0681927670182167</v>
      </c>
      <c r="CK113" s="209"/>
      <c r="CL113" s="209">
        <f>(ROUND(TBF/CL$6,3)*CL$6)*CL$4</f>
        <v>87.999999999999986</v>
      </c>
      <c r="CM113" s="110">
        <f t="shared" si="690"/>
        <v>0.88028328767848807</v>
      </c>
      <c r="CN113" s="64">
        <f>IF(SeilBeregnet=0,"-",(SeilBeregnet)^(1/2)*StHfaktor/(Depl+DeplTillegg/1000+Vann/1000+Diesel/1000*0.84)^(1/3))</f>
        <v>2.8326841195138299</v>
      </c>
      <c r="CO113" s="64">
        <f t="shared" si="659"/>
        <v>1.6991458954997209</v>
      </c>
      <c r="CP113" s="64">
        <f t="shared" si="660"/>
        <v>1.8803015465431969</v>
      </c>
      <c r="CQ113" s="110">
        <f t="shared" si="661"/>
        <v>0.97490269252607475</v>
      </c>
      <c r="CR113" s="172">
        <f t="shared" ref="CR113:CR154" si="965">IF(CS113=0,"-",IF(CH113="TBF","-",CR$7*CS113))</f>
        <v>0.90070588235294125</v>
      </c>
      <c r="CS113" s="163">
        <f>CS112</f>
        <v>0.87</v>
      </c>
      <c r="CT113" s="172">
        <f t="shared" ref="CT113:CT154" si="966">IF(CU113=0,"-",IF(CL113="TBF","-",CT$7*CU113))</f>
        <v>0.90315789473684216</v>
      </c>
      <c r="CU113" s="163">
        <f>CU112</f>
        <v>1.17</v>
      </c>
      <c r="CV113" s="195" t="s">
        <v>145</v>
      </c>
      <c r="CW113" s="64">
        <v>0.88</v>
      </c>
      <c r="CX113" s="64">
        <v>0.87</v>
      </c>
      <c r="CY113" s="64">
        <v>0.88</v>
      </c>
      <c r="CZ113" s="154">
        <v>0.91</v>
      </c>
      <c r="DA113" s="64">
        <f t="shared" si="854"/>
        <v>2.0797175079376866</v>
      </c>
      <c r="DB113" s="49">
        <f t="shared" si="855"/>
        <v>12.947658402203857</v>
      </c>
      <c r="DC113" s="50">
        <f t="shared" si="856"/>
        <v>0</v>
      </c>
      <c r="DE113" s="110">
        <f>IF(SeilBeregnet=0,"-",DE$7*(DG:DG+DE$6)*DL:DL*PropF+ErfaringsF+Dyp_F)</f>
        <v>0.88775479840856619</v>
      </c>
      <c r="DF113" s="144">
        <f>IF($DQ113=0,"-",(DE113-$DO113)*100)</f>
        <v>0.72373054820678018</v>
      </c>
      <c r="DG113" s="110">
        <f t="shared" si="858"/>
        <v>4.6745967345242594</v>
      </c>
      <c r="DH113" s="136">
        <f>IF(SeilBeregnet=0,DH112,(SeilBeregnet^0.5/(Depl^0.3333))^DH$3*DH$7)</f>
        <v>2.9178891591502754</v>
      </c>
      <c r="DI113" s="136">
        <f>IF(SeilBeregnet=0,DI112,(SeilBeregnet^0.5/Lwl)^DI$3*DI$7)</f>
        <v>0</v>
      </c>
      <c r="DJ113" s="136">
        <f>IF(SeilBeregnet=0,DJ112,(0.1*Loa/Depl^0.3333)^DJ$3*DJ$7)</f>
        <v>0</v>
      </c>
      <c r="DK113" s="136">
        <f>IF(SeilBeregnet=0,DK112,((Loa)/Bredde)^DK$3*DK$7)</f>
        <v>1.7567075753739845</v>
      </c>
      <c r="DL113" s="110">
        <f>IF(SeilBeregnet=0,DL112,(Lwl)^DL$3)</f>
        <v>1.8803015465431969</v>
      </c>
      <c r="DM113" s="136">
        <f>IF(SeilBeregnet=0,DM112,(Dypg/Loa)^DM$3*5*DM$7)</f>
        <v>2.0233824786856944</v>
      </c>
      <c r="DO113" s="110">
        <f t="shared" si="931"/>
        <v>0.88051749292649839</v>
      </c>
      <c r="DP113" s="110">
        <f t="shared" si="859"/>
        <v>0.89358215839938038</v>
      </c>
      <c r="DQ113" s="125">
        <f>DP113-DO113</f>
        <v>1.3064665472881987E-2</v>
      </c>
      <c r="DR113" s="110">
        <f t="shared" si="860"/>
        <v>0.89040800602227299</v>
      </c>
      <c r="DS113" s="125">
        <f>IF($DQ113=0,"-",DR113-$DO113)</f>
        <v>9.8905130957746001E-3</v>
      </c>
      <c r="DT113" s="110">
        <f t="shared" si="862"/>
        <v>0.88331058743788315</v>
      </c>
      <c r="DU113" s="125">
        <f>IF($DQ113=0,"-",DT113-$DO113)</f>
        <v>2.7930945113847638E-3</v>
      </c>
      <c r="DV113" s="110">
        <f t="shared" si="214"/>
        <v>2.9175885748124832</v>
      </c>
      <c r="DW113" s="110">
        <f t="shared" si="215"/>
        <v>2.3205990351333203</v>
      </c>
      <c r="DX113" s="110">
        <f>IF(SeilBeregnet=0,DX112,((Loa+Lwl)/Bredde)^DX$3)</f>
        <v>1.550146822035346</v>
      </c>
      <c r="DZ113" s="110">
        <f t="shared" si="864"/>
        <v>0.88356424356693397</v>
      </c>
      <c r="EB113" s="110">
        <f t="shared" si="217"/>
        <v>2.9175885748124832</v>
      </c>
      <c r="EC113" s="110">
        <f>IF(SeilBeregnet=0,EC112,Lwl^EC$3)</f>
        <v>2.3207748778988528</v>
      </c>
      <c r="ED113" s="110">
        <f>IF(SeilBeregnet=0,ED112,((Loa+Lwl)/Bredde)^ED$3)</f>
        <v>1.7939282238461092</v>
      </c>
      <c r="EE113" s="110">
        <f t="shared" si="865"/>
        <v>0.88297316846384377</v>
      </c>
      <c r="EG113" s="110">
        <f>IF(SeilBeregnet=0,EG112,(EH113*EI113)^EG$3)</f>
        <v>4.5226906572522054</v>
      </c>
      <c r="EH113" s="110">
        <f t="shared" si="219"/>
        <v>2.9175885748124832</v>
      </c>
      <c r="EI113" s="110">
        <f>IF(SeilBeregnet=0,EI112,((Loa+Lwl)/Bredde)^EI$3)</f>
        <v>1.550146822035346</v>
      </c>
      <c r="EJ113" s="110">
        <f>IF(SeilBeregnet=0,EJ112,Lwl^EJ$3)</f>
        <v>1.8803015465431969</v>
      </c>
      <c r="EK113" s="110">
        <f>IF(SeilBeregnet=0,"-",EK$7*(EK$4*EM:EM+EK$6)*EP:EP*PropF+ErfaringsF+Dyp_F)</f>
        <v>0.88557305318429269</v>
      </c>
      <c r="EM113" s="110">
        <f>IF(SeilBeregnet=0,EM112,(EN:EN*EO:EO)^EM$3)</f>
        <v>1.6999241183330327</v>
      </c>
      <c r="EN113" s="110">
        <f t="shared" si="220"/>
        <v>2.9175885748124832</v>
      </c>
      <c r="EO113" s="110">
        <f>IF(SeilBeregnet=0,EO112,((Loa+Lwl)/Bredde/6)^EO$3)</f>
        <v>0.99045562250875818</v>
      </c>
      <c r="EP113" s="110">
        <f>IF(SeilBeregnet=0,EP112,(Lwl*0.7+Loa*0.3)^EP$3)</f>
        <v>1.9008341203345265</v>
      </c>
      <c r="EQ113" s="110">
        <f>IF(SeilBeregnet=0,"-",EQ$7*(ES:ES+EQ$6)*EV:EV*PropF+ErfaringsF+Dyp_F)</f>
        <v>0.88424800331675568</v>
      </c>
      <c r="ES113" s="110">
        <f>(ET:ET*EU:EU)^ES$3</f>
        <v>1.7000116833533065</v>
      </c>
      <c r="ET113" s="110">
        <f t="shared" si="221"/>
        <v>2.9178891591502754</v>
      </c>
      <c r="EU113" s="110">
        <f>IF(SeilBeregnet=0,EU112,((Loa+Lwl)/Bredde/6)^EU$3)</f>
        <v>0.99045562250875818</v>
      </c>
      <c r="EV113" s="110">
        <f>IF(SeilBeregnet=0,EV112,(Lwl*0.7+Loa*0.3)^EV$3)</f>
        <v>1.9008341203345265</v>
      </c>
      <c r="EW113" s="110">
        <f>IF(SeilBeregnet=0,"-",EW$7*(EY:EY+EW$6)*FB:FB*PropF+ErfaringsF+Dyp_F)</f>
        <v>0.88878357934589058</v>
      </c>
      <c r="EX113" s="144">
        <f t="shared" ref="EX113:EX114" si="967">IF($DQ113=0,"-",(EW113-$DO113)*100)</f>
        <v>0.82660864193921935</v>
      </c>
      <c r="EY113" s="110">
        <f>(EZ:EZ*FA:FA)^EY$3</f>
        <v>2.8624560934516143</v>
      </c>
      <c r="EZ113" s="136">
        <f>IF(SeilBeregnet=0,EZ112,(SeilBeregnet^0.5/(Depl^0.3333))^EZ$3)</f>
        <v>2.9178891591502754</v>
      </c>
      <c r="FA113" s="136">
        <f>IF(SeilBeregnet=0,FA112,((Loa+Lwl)/Bredde/6)^FA$3)</f>
        <v>0.98100234015921162</v>
      </c>
      <c r="FB113" s="110">
        <f>IF(SeilBeregnet=0,FB112,(Lwl*0.07+Loa*0.03)^FB$3)</f>
        <v>1.0689175781959492</v>
      </c>
      <c r="FC113" s="110">
        <f>IF(SeilBeregnet=0,"-",FC$7*(FE:FE+FC$6)*FI:FI*PropF+ErfaringsF+Dyp_F)</f>
        <v>0.88590341402308059</v>
      </c>
      <c r="FD113" s="144">
        <f t="shared" ref="FD113:FD114" si="968">IF($DQ113=0,"-",(FC113-$DO113)*100)</f>
        <v>0.53859210965822024</v>
      </c>
      <c r="FE113" s="110">
        <f>(FF:FF+FG:FG+FH:FH)^FE$3+FE$7</f>
        <v>4.9078088457171942</v>
      </c>
      <c r="FF113" s="136">
        <f>IF(SeilBeregnet=0,FF112,(SeilBeregnet^0.5/(Depl^0.3333))^FF$3)</f>
        <v>2.9178891591502754</v>
      </c>
      <c r="FG113" s="136">
        <f>IF(SeilBeregnet=0,FG112,(SeilBeregnet^0.5/Lwl*FG$7)^FG$3)</f>
        <v>0.73321211119293439</v>
      </c>
      <c r="FH113" s="136">
        <f>IF(SeilBeregnet=0,FH112,((Loa)/Bredde)^FH$3*FH$7)</f>
        <v>1.7567075753739845</v>
      </c>
      <c r="FI113" s="110">
        <f>IF(SeilBeregnet=0,FI112,(Lwl)^FI$3)</f>
        <v>1.8803015465431969</v>
      </c>
      <c r="FJ113" s="110">
        <f>IF(SeilBeregnet=0,"-",FJ$7*(FL:FL+FJ$6)*FO:FO*PropF+ErfaringsF+Dyp_F)</f>
        <v>0.89228892990253295</v>
      </c>
      <c r="FK113" s="144">
        <f t="shared" ref="FK113:FK114" si="969">IF($DQ113=0,"-",(FJ113-$DO113)*100)</f>
        <v>1.1771436976034555</v>
      </c>
      <c r="FL113" s="110">
        <f>(FM:FM*FN:FN)^FL$3</f>
        <v>5.1258779899809142</v>
      </c>
      <c r="FM113" s="136">
        <f>IF(SeilBeregnet=0,FM112,(SeilBeregnet^0.5/(Depl^0.3333))^FM$3)</f>
        <v>2.9178891591502754</v>
      </c>
      <c r="FN113" s="136">
        <f>IF(SeilBeregnet=0,FN112,(Loa/Bredde)^FN$3)</f>
        <v>1.7567075753739845</v>
      </c>
      <c r="FO113" s="110">
        <f>IF(SeilBeregnet=0,FO112,Lwl^FO$3)</f>
        <v>1.8803015465431969</v>
      </c>
      <c r="FQ113">
        <v>0.95</v>
      </c>
      <c r="FR113" s="64">
        <f t="shared" ref="FR113:FR140" si="970">IF(SeilBeregnet=0,"-",0.06*2.43^(1/2)*(SeilBeregnet^(1/2)/Depl^(1/3)+(Loa/Bredde)^(1/2)+5*(Dypg/Loa)^(1/2))*Lwl^(1/4)*FQ113)</f>
        <v>1.1189936844543318</v>
      </c>
      <c r="FS113" s="479"/>
      <c r="FT113" s="18"/>
      <c r="FU113" s="481"/>
      <c r="FV113" s="504"/>
      <c r="FW113" s="18"/>
      <c r="FX113" s="18"/>
      <c r="FY113" s="18"/>
      <c r="FZ113" s="18"/>
      <c r="GB113" s="18"/>
      <c r="GC113" s="481"/>
      <c r="GD113" s="8"/>
      <c r="GE113" s="8"/>
      <c r="GF113" s="8"/>
      <c r="GG113" s="8"/>
      <c r="GI113" s="18"/>
      <c r="GJ113" s="18"/>
      <c r="GK113" s="18"/>
      <c r="GL113" s="18"/>
      <c r="GM113" s="18"/>
      <c r="GN113" s="18"/>
      <c r="GO113" s="18"/>
      <c r="GP113" s="18"/>
    </row>
    <row r="114" spans="1:198" ht="15.6" x14ac:dyDescent="0.3">
      <c r="A114" s="62" t="s">
        <v>28</v>
      </c>
      <c r="B114" s="223"/>
      <c r="C114" s="14" t="str">
        <f>C112</f>
        <v>Gaffel</v>
      </c>
      <c r="G114" s="56"/>
      <c r="H114" s="209">
        <f>TBFavrundet</f>
        <v>85.500000000000014</v>
      </c>
      <c r="I114" s="65">
        <f>COUNTA(O114:AD114)</f>
        <v>4</v>
      </c>
      <c r="J114" s="228">
        <f>SUM(O114:AD114)</f>
        <v>96</v>
      </c>
      <c r="K114" s="119">
        <f>Seilareal/Depl^0.667/K$7</f>
        <v>0.88845685837044008</v>
      </c>
      <c r="L114" s="119">
        <f>Seilareal/Lwl/Lwl/L$7</f>
        <v>0.93224096030680714</v>
      </c>
      <c r="M114" s="95">
        <f>RiggF</f>
        <v>0.80208333333333337</v>
      </c>
      <c r="N114" s="265">
        <f>StHfaktor</f>
        <v>0.97490269252607475</v>
      </c>
      <c r="O114" s="147"/>
      <c r="P114" s="147"/>
      <c r="Q114" s="169">
        <v>22</v>
      </c>
      <c r="R114" s="147"/>
      <c r="S114" s="147"/>
      <c r="T114" s="169">
        <v>20</v>
      </c>
      <c r="U114" s="169">
        <v>43</v>
      </c>
      <c r="V114" s="148"/>
      <c r="W114" s="148"/>
      <c r="X114" s="169">
        <v>11</v>
      </c>
      <c r="Y114" s="147"/>
      <c r="Z114" s="147"/>
      <c r="AA114" s="147"/>
      <c r="AB114" s="147"/>
      <c r="AC114" s="147"/>
      <c r="AD114" s="147"/>
      <c r="AE114" s="260">
        <f t="shared" ref="AE114" si="971">AE113</f>
        <v>10.199999999999999</v>
      </c>
      <c r="AF114" s="375">
        <f t="shared" ref="AF114:AH114" si="972" xml:space="preserve"> AF113</f>
        <v>0</v>
      </c>
      <c r="AG114" s="377"/>
      <c r="AH114" s="375">
        <f t="shared" si="972"/>
        <v>0</v>
      </c>
      <c r="AI114" s="377"/>
      <c r="AJ114" s="295" t="str">
        <f t="shared" ref="AJ114" si="973" xml:space="preserve"> AJ113</f>
        <v>RS</v>
      </c>
      <c r="AK114" s="47">
        <f>VLOOKUP(AJ114,Skrogform!$1:$1048576,3,FALSE)</f>
        <v>0.97</v>
      </c>
      <c r="AL114" s="66">
        <f t="shared" ref="AL114:AT114" si="974">AL113</f>
        <v>14.35</v>
      </c>
      <c r="AM114" s="66">
        <f t="shared" si="974"/>
        <v>12.5</v>
      </c>
      <c r="AN114" s="66">
        <f t="shared" si="974"/>
        <v>4.6500000000000004</v>
      </c>
      <c r="AO114" s="66">
        <f t="shared" si="974"/>
        <v>2.35</v>
      </c>
      <c r="AP114" s="66">
        <f t="shared" si="974"/>
        <v>31</v>
      </c>
      <c r="AQ114" s="66">
        <f t="shared" si="974"/>
        <v>6.5</v>
      </c>
      <c r="AR114" s="66">
        <f t="shared" si="974"/>
        <v>4.5</v>
      </c>
      <c r="AS114" s="284">
        <f t="shared" si="974"/>
        <v>85</v>
      </c>
      <c r="AT114" s="284">
        <f t="shared" si="974"/>
        <v>500</v>
      </c>
      <c r="AU114" s="284">
        <f t="shared" ref="AU114:AV114" si="975">AU113</f>
        <v>100</v>
      </c>
      <c r="AV114" s="284">
        <f t="shared" si="975"/>
        <v>100</v>
      </c>
      <c r="AW114" s="284"/>
      <c r="AX114" s="284">
        <f>AX113</f>
        <v>0</v>
      </c>
      <c r="AY114" s="68"/>
      <c r="AZ114" s="68"/>
      <c r="BA114" s="289"/>
      <c r="BB114" s="68"/>
      <c r="BC114" s="179"/>
      <c r="BD114" s="68"/>
      <c r="BE114" s="68"/>
      <c r="BF114" s="67" t="str">
        <f t="shared" ref="BF114:BH114" si="976" xml:space="preserve"> BF113</f>
        <v>Seilrett</v>
      </c>
      <c r="BG114" s="295">
        <f t="shared" si="976"/>
        <v>3</v>
      </c>
      <c r="BH114" s="295">
        <f t="shared" si="976"/>
        <v>65</v>
      </c>
      <c r="BI114" s="47">
        <f t="shared" si="853"/>
        <v>1</v>
      </c>
      <c r="BJ114" s="61"/>
      <c r="BK114" s="61"/>
      <c r="BM114" s="51">
        <f t="shared" si="963"/>
        <v>0</v>
      </c>
      <c r="BN114" s="51">
        <f t="shared" si="963"/>
        <v>0</v>
      </c>
      <c r="BO114" s="51">
        <f t="shared" si="963"/>
        <v>22</v>
      </c>
      <c r="BP114" s="51">
        <f t="shared" si="963"/>
        <v>0</v>
      </c>
      <c r="BQ114" s="51">
        <f t="shared" si="963"/>
        <v>0</v>
      </c>
      <c r="BR114" s="51">
        <f t="shared" si="963"/>
        <v>20</v>
      </c>
      <c r="BS114" s="52">
        <f>IF(COUNT(P114:T114)&gt;1,MINA(P114:T114)*BS$9,0)</f>
        <v>-6</v>
      </c>
      <c r="BT114" s="88">
        <f t="shared" si="964"/>
        <v>34.4</v>
      </c>
      <c r="BU114" s="88">
        <f t="shared" si="964"/>
        <v>0</v>
      </c>
      <c r="BV114" s="88">
        <f t="shared" si="964"/>
        <v>0</v>
      </c>
      <c r="BW114" s="88">
        <f t="shared" si="964"/>
        <v>6.6</v>
      </c>
      <c r="BX114" s="88">
        <f t="shared" si="964"/>
        <v>0</v>
      </c>
      <c r="BY114" s="88">
        <f t="shared" si="964"/>
        <v>0</v>
      </c>
      <c r="BZ114" s="88">
        <f t="shared" si="964"/>
        <v>0</v>
      </c>
      <c r="CA114" s="88">
        <f t="shared" si="964"/>
        <v>0</v>
      </c>
      <c r="CB114" s="88">
        <f t="shared" si="964"/>
        <v>0</v>
      </c>
      <c r="CC114" s="88">
        <f t="shared" si="964"/>
        <v>0</v>
      </c>
      <c r="CD114" s="103">
        <f>SUM(BM114:CC114)</f>
        <v>77</v>
      </c>
      <c r="CE114" s="52"/>
      <c r="CF114" s="107">
        <f>J114</f>
        <v>96</v>
      </c>
      <c r="CG114" s="104">
        <f>CD114/CF114</f>
        <v>0.80208333333333337</v>
      </c>
      <c r="CH114" s="53">
        <f>Seilareal/Lwl/Lwl</f>
        <v>0.61439999999999995</v>
      </c>
      <c r="CI114" s="119">
        <f>Seilareal/Depl^0.667/K$7</f>
        <v>0.88845685837044008</v>
      </c>
      <c r="CJ114" s="53">
        <f>Seilareal/Lwl/Lwl/SApRS1</f>
        <v>0.93224096030680714</v>
      </c>
      <c r="CK114" s="209"/>
      <c r="CL114" s="209">
        <f>(ROUND(TBF/CL$6,3)*CL$6)*CL$4</f>
        <v>85.500000000000014</v>
      </c>
      <c r="CM114" s="110">
        <f t="shared" si="690"/>
        <v>0.85685825806129445</v>
      </c>
      <c r="CN114" s="64">
        <f>IF(SeilBeregnet=0,"-",(SeilBeregnet)^(1/2)*StHfaktor/(Depl+DeplTillegg/1000+Vann/1000+Diesel/1000*0.84)^(1/3))</f>
        <v>2.712088563733436</v>
      </c>
      <c r="CO114" s="64">
        <f t="shared" si="659"/>
        <v>1.6991458954997209</v>
      </c>
      <c r="CP114" s="64">
        <f t="shared" si="660"/>
        <v>1.8803015465431969</v>
      </c>
      <c r="CQ114" s="110">
        <f t="shared" si="661"/>
        <v>0.97490269252607475</v>
      </c>
      <c r="CR114" s="172" t="str">
        <f t="shared" si="965"/>
        <v>-</v>
      </c>
      <c r="CS114" s="162"/>
      <c r="CT114" s="172" t="str">
        <f t="shared" si="966"/>
        <v>-</v>
      </c>
      <c r="CU114" s="164"/>
      <c r="CV114" s="195" t="s">
        <v>145</v>
      </c>
      <c r="CW114" s="64">
        <v>0.86</v>
      </c>
      <c r="CX114" s="64">
        <v>0.86</v>
      </c>
      <c r="CY114" s="64">
        <v>0.86</v>
      </c>
      <c r="CZ114" s="154">
        <v>0.88</v>
      </c>
      <c r="DA114" s="64">
        <f t="shared" si="854"/>
        <v>2.0797175079376866</v>
      </c>
      <c r="DB114" s="49">
        <f t="shared" si="855"/>
        <v>12.947658402203857</v>
      </c>
      <c r="DC114" s="50">
        <f t="shared" si="856"/>
        <v>0</v>
      </c>
      <c r="DE114" s="110">
        <f>IF(SeilBeregnet=0,"-",DE$7*(DG:DG+DE$6)*DL:DL*PropF+ErfaringsF+Dyp_F)</f>
        <v>0.86416355546342671</v>
      </c>
      <c r="DF114" s="144" t="str">
        <f t="shared" ref="DF114" si="977">IF($DQ114=0,"-",(DE114-$DO114)*100)</f>
        <v>-</v>
      </c>
      <c r="DG114" s="110">
        <f t="shared" si="858"/>
        <v>4.5503737537728064</v>
      </c>
      <c r="DH114" s="136">
        <f>IF(SeilBeregnet=0,DH113,(SeilBeregnet^0.5/(Depl^0.3333))^DH$3*DH$7)</f>
        <v>2.7936661783988219</v>
      </c>
      <c r="DI114" s="136">
        <f>IF(SeilBeregnet=0,DI113,(SeilBeregnet^0.5/Lwl)^DI$3*DI$7)</f>
        <v>0</v>
      </c>
      <c r="DJ114" s="136">
        <f>IF(SeilBeregnet=0,DJ113,(0.1*Loa/Depl^0.3333)^DJ$3*DJ$7)</f>
        <v>0</v>
      </c>
      <c r="DK114" s="136">
        <f>IF(SeilBeregnet=0,DK113,((Loa)/Bredde)^DK$3*DK$7)</f>
        <v>1.7567075753739845</v>
      </c>
      <c r="DL114" s="110">
        <f>IF(SeilBeregnet=0,DL113,(Lwl)^DL$3)</f>
        <v>1.8803015465431969</v>
      </c>
      <c r="DM114" s="136">
        <f>IF(SeilBeregnet=0,DM113,(Dypg/Loa)^DM$3*5*DM$7)</f>
        <v>2.0233824786856944</v>
      </c>
      <c r="DO114" s="110">
        <f t="shared" si="931"/>
        <v>0.85565603578654725</v>
      </c>
      <c r="DP114" s="110">
        <f t="shared" si="859"/>
        <v>0.8639399100977968</v>
      </c>
      <c r="DR114" s="110">
        <f t="shared" si="860"/>
        <v>0.86680215230344537</v>
      </c>
      <c r="DS114" s="125" t="str">
        <f t="shared" ref="DS114" si="978">IF($DQ114=0,"-",DR114-$DO114)</f>
        <v>-</v>
      </c>
      <c r="DT114" s="110">
        <f t="shared" si="862"/>
        <v>0.85530996600782117</v>
      </c>
      <c r="DU114" s="125" t="str">
        <f t="shared" ref="DU114" si="979">IF($DQ114=0,"-",DT114-$DO114)</f>
        <v>-</v>
      </c>
      <c r="DV114" s="110">
        <f t="shared" si="214"/>
        <v>2.7933783908056529</v>
      </c>
      <c r="DW114" s="110">
        <f t="shared" si="215"/>
        <v>2.3205990351333203</v>
      </c>
      <c r="DX114" s="110">
        <f>IF(SeilBeregnet=0,DX113,((Loa+Lwl)/Bredde)^DX$3)</f>
        <v>1.550146822035346</v>
      </c>
      <c r="DZ114" s="110">
        <f t="shared" si="864"/>
        <v>0.85838554971613013</v>
      </c>
      <c r="EB114" s="110">
        <f t="shared" si="217"/>
        <v>2.7933783908056529</v>
      </c>
      <c r="EC114" s="110">
        <f>IF(SeilBeregnet=0,EC113,Lwl^EC$3)</f>
        <v>2.3207748778988528</v>
      </c>
      <c r="ED114" s="110">
        <f>IF(SeilBeregnet=0,ED113,((Loa+Lwl)/Bredde)^ED$3)</f>
        <v>1.7939282238461092</v>
      </c>
      <c r="EE114" s="110">
        <f t="shared" si="865"/>
        <v>0.85690858651292856</v>
      </c>
      <c r="EG114" s="110">
        <f>IF(SeilBeregnet=0,EG113,(EH114*EI114)^EG$3)</f>
        <v>4.3301466352495916</v>
      </c>
      <c r="EH114" s="110">
        <f t="shared" si="219"/>
        <v>2.7933783908056529</v>
      </c>
      <c r="EI114" s="110">
        <f>IF(SeilBeregnet=0,EI113,((Loa+Lwl)/Bredde)^EI$3)</f>
        <v>1.550146822035346</v>
      </c>
      <c r="EJ114" s="110">
        <f>IF(SeilBeregnet=0,EJ113,Lwl^EJ$3)</f>
        <v>1.8803015465431969</v>
      </c>
      <c r="EK114" s="110">
        <f>IF(SeilBeregnet=0,"-",EK$7*(EK$4*EM:EM+EK$6)*EP:EP*PropF+ErfaringsF+Dyp_F)</f>
        <v>0.85857694320481059</v>
      </c>
      <c r="EM114" s="110">
        <f>IF(SeilBeregnet=0,EM113,(EN:EN*EO:EO)^EM$3)</f>
        <v>1.6633452236285544</v>
      </c>
      <c r="EN114" s="110">
        <f t="shared" si="220"/>
        <v>2.7933783908056529</v>
      </c>
      <c r="EO114" s="110">
        <f>IF(SeilBeregnet=0,EO113,((Loa+Lwl)/Bredde/6)^EO$3)</f>
        <v>0.99045562250875818</v>
      </c>
      <c r="EP114" s="110">
        <f>IF(SeilBeregnet=0,EP113,(Lwl*0.7+Loa*0.3)^EP$3)</f>
        <v>1.9008341203345265</v>
      </c>
      <c r="EQ114" s="110">
        <f>IF(SeilBeregnet=0,"-",EQ$7*(ES:ES+EQ$6)*EV:EV*PropF+ErfaringsF+Dyp_F)</f>
        <v>0.86522079248002348</v>
      </c>
      <c r="ES114" s="110">
        <f>(ET:ET*EU:EU)^ES$3</f>
        <v>1.6634309044284552</v>
      </c>
      <c r="ET114" s="110">
        <f t="shared" si="221"/>
        <v>2.7936661783988219</v>
      </c>
      <c r="EU114" s="110">
        <f>IF(SeilBeregnet=0,EU113,((Loa+Lwl)/Bredde/6)^EU$3)</f>
        <v>0.99045562250875818</v>
      </c>
      <c r="EV114" s="110">
        <f>IF(SeilBeregnet=0,EV113,(Lwl*0.7+Loa*0.3)^EV$3)</f>
        <v>1.9008341203345265</v>
      </c>
      <c r="EW114" s="110">
        <f>IF(SeilBeregnet=0,"-",EW$7*(EY:EY+EW$6)*FB:FB*PropF+ErfaringsF+Dyp_F)</f>
        <v>0.86650885599733307</v>
      </c>
      <c r="EX114" s="144" t="str">
        <f t="shared" si="967"/>
        <v>-</v>
      </c>
      <c r="EY114" s="110">
        <f>(EZ:EZ*FA:FA)^EY$3</f>
        <v>2.7405930586328857</v>
      </c>
      <c r="EZ114" s="136">
        <f>IF(SeilBeregnet=0,EZ113,(SeilBeregnet^0.5/(Depl^0.3333))^EZ$3)</f>
        <v>2.7936661783988219</v>
      </c>
      <c r="FA114" s="136">
        <f>IF(SeilBeregnet=0,FA113,((Loa+Lwl)/Bredde/6)^FA$3)</f>
        <v>0.98100234015921162</v>
      </c>
      <c r="FB114" s="110">
        <f>IF(SeilBeregnet=0,FB113,(Lwl*0.07+Loa*0.03)^FB$3)</f>
        <v>1.0689175781959492</v>
      </c>
      <c r="FC114" s="110">
        <f>IF(SeilBeregnet=0,"-",FC$7*(FE:FE+FC$6)*FI:FI*PropF+ErfaringsF+Dyp_F)</f>
        <v>0.85784547474959749</v>
      </c>
      <c r="FD114" s="144" t="str">
        <f t="shared" si="968"/>
        <v>-</v>
      </c>
      <c r="FE114" s="110">
        <f>(FF:FF+FG:FG+FH:FH)^FE$3+FE$7</f>
        <v>4.7523709047641765</v>
      </c>
      <c r="FF114" s="136">
        <f>IF(SeilBeregnet=0,FF113,(SeilBeregnet^0.5/(Depl^0.3333))^FF$3)</f>
        <v>2.7936661783988219</v>
      </c>
      <c r="FG114" s="136">
        <f>IF(SeilBeregnet=0,FG113,(SeilBeregnet^0.5/Lwl*FG$7)^FG$3)</f>
        <v>0.70199715099136983</v>
      </c>
      <c r="FH114" s="136">
        <f>IF(SeilBeregnet=0,FH113,((Loa)/Bredde)^FH$3*FH$7)</f>
        <v>1.7567075753739845</v>
      </c>
      <c r="FI114" s="110">
        <f>IF(SeilBeregnet=0,FI113,(Lwl)^FI$3)</f>
        <v>1.8803015465431969</v>
      </c>
      <c r="FJ114" s="110">
        <f>IF(SeilBeregnet=0,"-",FJ$7*(FL:FL+FJ$6)*FO:FO*PropF+ErfaringsF+Dyp_F)</f>
        <v>0.87095198346590752</v>
      </c>
      <c r="FK114" s="144" t="str">
        <f t="shared" si="969"/>
        <v>-</v>
      </c>
      <c r="FL114" s="110">
        <f>(FM:FM*FN:FN)^FL$3</f>
        <v>4.9076545386592993</v>
      </c>
      <c r="FM114" s="136">
        <f>IF(SeilBeregnet=0,FM113,(SeilBeregnet^0.5/(Depl^0.3333))^FM$3)</f>
        <v>2.7936661783988219</v>
      </c>
      <c r="FN114" s="136">
        <f>IF(SeilBeregnet=0,FN113,(Loa/Bredde)^FN$3)</f>
        <v>1.7567075753739845</v>
      </c>
      <c r="FO114" s="110">
        <f>IF(SeilBeregnet=0,FO113,Lwl^FO$3)</f>
        <v>1.8803015465431969</v>
      </c>
      <c r="FQ114">
        <v>0.95</v>
      </c>
      <c r="FR114" s="64">
        <f t="shared" si="970"/>
        <v>1.0982417909661926</v>
      </c>
      <c r="FS114" s="479"/>
      <c r="FT114" s="18"/>
      <c r="FU114" s="481"/>
      <c r="FV114" s="504"/>
      <c r="FW114" s="18"/>
      <c r="FX114" s="18"/>
      <c r="FY114" s="18"/>
      <c r="FZ114" s="18"/>
      <c r="GB114" s="18"/>
      <c r="GC114" s="481"/>
      <c r="GD114" s="8"/>
      <c r="GE114" s="8"/>
      <c r="GF114" s="8"/>
      <c r="GG114" s="8"/>
      <c r="GI114" s="18"/>
      <c r="GJ114" s="18"/>
      <c r="GK114" s="18"/>
      <c r="GL114" s="18"/>
      <c r="GM114" s="18"/>
      <c r="GN114" s="18"/>
      <c r="GO114" s="18"/>
      <c r="GP114" s="18"/>
    </row>
    <row r="115" spans="1:198" ht="15.6" x14ac:dyDescent="0.3">
      <c r="A115" s="54" t="s">
        <v>291</v>
      </c>
      <c r="B115" s="223">
        <f t="shared" si="199"/>
        <v>46.751968503937007</v>
      </c>
      <c r="C115" s="55" t="s">
        <v>22</v>
      </c>
      <c r="D115" s="55"/>
      <c r="E115" s="55"/>
      <c r="F115" s="55"/>
      <c r="G115" s="56" t="s">
        <v>23</v>
      </c>
      <c r="H115" s="209"/>
      <c r="I115" s="126" t="str">
        <f>A115</f>
        <v>RS 28 Sandefjord</v>
      </c>
      <c r="J115" s="229"/>
      <c r="K115" s="119"/>
      <c r="L115" s="119"/>
      <c r="M115" s="95"/>
      <c r="N115" s="265"/>
      <c r="O115" s="169"/>
      <c r="P115" s="169"/>
      <c r="Q115" s="169">
        <v>31.5</v>
      </c>
      <c r="R115" s="169"/>
      <c r="S115" s="169"/>
      <c r="T115" s="169">
        <v>24.2</v>
      </c>
      <c r="U115" s="169">
        <v>46.2</v>
      </c>
      <c r="V115" s="169"/>
      <c r="W115" s="169"/>
      <c r="X115" s="169">
        <v>14.8</v>
      </c>
      <c r="Y115" s="169">
        <v>12.9</v>
      </c>
      <c r="Z115" s="169"/>
      <c r="AA115" s="169"/>
      <c r="AB115" s="169"/>
      <c r="AC115" s="169"/>
      <c r="AD115" s="169"/>
      <c r="AE115" s="270">
        <v>12.06</v>
      </c>
      <c r="AF115" s="296"/>
      <c r="AG115" s="377"/>
      <c r="AH115" s="296"/>
      <c r="AI115" s="377"/>
      <c r="AJ115" s="296" t="s">
        <v>261</v>
      </c>
      <c r="AK115" s="47">
        <f>VLOOKUP(AJ115,Skrogform!$1:$1048576,3,FALSE)</f>
        <v>0.97</v>
      </c>
      <c r="AL115" s="57">
        <v>14.25</v>
      </c>
      <c r="AM115" s="57">
        <v>12.4</v>
      </c>
      <c r="AN115" s="57">
        <v>5.05</v>
      </c>
      <c r="AO115" s="57">
        <v>2.35</v>
      </c>
      <c r="AP115" s="57">
        <v>33</v>
      </c>
      <c r="AQ115" s="57">
        <v>5</v>
      </c>
      <c r="AR115" s="57">
        <v>5</v>
      </c>
      <c r="AS115" s="281"/>
      <c r="AT115" s="282">
        <v>1300</v>
      </c>
      <c r="AU115" s="281">
        <f>ROUND(Depl*10,-2)</f>
        <v>300</v>
      </c>
      <c r="AV115" s="281">
        <f>ROUND(Depl*10,-2)</f>
        <v>300</v>
      </c>
      <c r="AW115" s="270">
        <f>Depl+Diesel/1000+Vann/1000</f>
        <v>33.599999999999994</v>
      </c>
      <c r="AX115" s="281">
        <v>100</v>
      </c>
      <c r="AY115" s="98">
        <f>Bredde/(Loa+Lwl)*2</f>
        <v>0.37898686679174487</v>
      </c>
      <c r="AZ115" s="98">
        <f>(Kjøl+Ballast)/Depl</f>
        <v>0.30303030303030304</v>
      </c>
      <c r="BA115" s="288">
        <f>BA$7*((Depl-Kjøl-Ballast-VektMotor/1000-VektAnnet/1000)/Loa/Lwl/Bredde)</f>
        <v>1.0473502404099875</v>
      </c>
      <c r="BB115" s="98">
        <f>BB$7*(Depl/Loa/Lwl/Lwl)</f>
        <v>1.1309511971172173</v>
      </c>
      <c r="BC115" s="178">
        <f>BC$7*(Depl/Loa/Lwl/Bredde)</f>
        <v>1.0264705256777023</v>
      </c>
      <c r="BD115" s="98">
        <f>BD$7*Bredde/(Loa+Lwl)*2</f>
        <v>1.0811313522564505</v>
      </c>
      <c r="BE115" s="98">
        <f>BE$7*(Dypg/Lwl)</f>
        <v>1.0365708274894812</v>
      </c>
      <c r="BF115" s="58" t="s">
        <v>24</v>
      </c>
      <c r="BG115" s="296">
        <v>3</v>
      </c>
      <c r="BH115" s="296">
        <v>90</v>
      </c>
      <c r="BI115" s="47">
        <f>IF((BF115="Fast"),(1.006248-(0.06415*((BH115/100*SQRT(BG115))/POWER(AP115,(1/3))))),1)</f>
        <v>1</v>
      </c>
      <c r="BJ115" s="61"/>
      <c r="BK115" s="61"/>
      <c r="BM115" s="214"/>
      <c r="BN115" s="214" t="str">
        <f>$A115</f>
        <v>RS 28 Sandefjord</v>
      </c>
      <c r="BO115" s="10"/>
      <c r="BP115" s="10"/>
      <c r="BQ115" s="10"/>
      <c r="BR115" s="10"/>
      <c r="BS115" s="52"/>
      <c r="BT115" s="214" t="str">
        <f>$A115</f>
        <v>RS 28 Sandefjord</v>
      </c>
      <c r="BU115" s="10"/>
      <c r="BV115" s="10"/>
      <c r="BW115" s="10"/>
      <c r="BX115" s="10"/>
      <c r="BY115" s="10"/>
      <c r="BZ115" s="10"/>
      <c r="CA115" s="10"/>
      <c r="CB115" s="10"/>
      <c r="CC115" s="10"/>
      <c r="CD115" s="214"/>
      <c r="CE115" s="10"/>
      <c r="CF115" s="214" t="str">
        <f>$A115</f>
        <v>RS 28 Sandefjord</v>
      </c>
      <c r="CG115" s="212"/>
      <c r="CH115" s="212"/>
      <c r="CI115" s="119"/>
      <c r="CJ115" s="212"/>
      <c r="CK115" s="208"/>
      <c r="CL115" s="208" t="s">
        <v>26</v>
      </c>
      <c r="CM115" s="110" t="str">
        <f t="shared" si="234"/>
        <v>-</v>
      </c>
      <c r="CN115" s="64" t="str">
        <f>IF(SeilBeregnet=0,"-",(SeilBeregnet)^(1/2)*StHfaktor/(Depl+DeplTillegg/1000+Vann/1000+Diesel/1000*0.84)^(1/3))</f>
        <v>-</v>
      </c>
      <c r="CO115" s="64" t="str">
        <f t="shared" si="203"/>
        <v>-</v>
      </c>
      <c r="CP115" s="64" t="str">
        <f t="shared" si="204"/>
        <v>-</v>
      </c>
      <c r="CQ115" s="110" t="str">
        <f t="shared" si="205"/>
        <v>-</v>
      </c>
      <c r="CR115" s="172">
        <f>IF(CS115=0,"-",IF(CH115="TBF","-",CR$7*CS115))</f>
        <v>0.91105882352941181</v>
      </c>
      <c r="CS115" s="162">
        <v>0.88</v>
      </c>
      <c r="CT115" s="172" t="str">
        <f>IF(CU115=0,"-",IF(CL115="TBF","-",CT$7*CU115))</f>
        <v>-</v>
      </c>
      <c r="CU115" s="164">
        <v>1.19</v>
      </c>
      <c r="CV115" s="195" t="s">
        <v>145</v>
      </c>
      <c r="CW115" s="30" t="s">
        <v>26</v>
      </c>
      <c r="CX115" s="30" t="s">
        <v>26</v>
      </c>
      <c r="CY115" s="30" t="s">
        <v>26</v>
      </c>
      <c r="CZ115" s="153">
        <v>2022</v>
      </c>
      <c r="DA115" s="64" t="str">
        <f t="shared" si="210"/>
        <v>-</v>
      </c>
      <c r="DB115" s="49">
        <f t="shared" si="206"/>
        <v>12.737127371273713</v>
      </c>
      <c r="DC115" s="50">
        <f>DB$7*IF(DB115&lt;DB$5,-0.04,IF(DB115&lt;DB$5*1.1,-0.03,IF(DB115&lt;DB$5*1.2,-0.02,IF(DB115&lt;DB$5*1.3,-0.01,0))))</f>
        <v>0</v>
      </c>
      <c r="DE115" s="110" t="str">
        <f>IF(SeilBeregnet=0,"-",DE$7*(DG:DG+DE$6)*DL:DL*PropF+ErfaringsF+Dyp_F)</f>
        <v>-</v>
      </c>
      <c r="DF115" s="144" t="str">
        <f>IF($DQ115=0,"-",(DE115-$DO115)*100)</f>
        <v>-</v>
      </c>
      <c r="DG115" s="110" t="e">
        <f>SUM(DH115:DK115)^DG$3+DG$7</f>
        <v>#REF!</v>
      </c>
      <c r="DH115" s="136" t="e">
        <f>IF(SeilBeregnet=0,#REF!,(SeilBeregnet^0.5/(Depl^0.3333))^DH$3*DH$7)</f>
        <v>#REF!</v>
      </c>
      <c r="DI115" s="136" t="e">
        <f>IF(SeilBeregnet=0,#REF!,(SeilBeregnet^0.5/Lwl)^DI$3*DI$7)</f>
        <v>#REF!</v>
      </c>
      <c r="DJ115" s="136" t="e">
        <f>IF(SeilBeregnet=0,#REF!,(0.1*Loa/Depl^0.3333)^DJ$3*DJ$7)</f>
        <v>#REF!</v>
      </c>
      <c r="DK115" s="136" t="e">
        <f>IF(SeilBeregnet=0,#REF!,((Loa)/Bredde)^DK$3*DK$7)</f>
        <v>#REF!</v>
      </c>
      <c r="DL115" s="110" t="e">
        <f>IF(SeilBeregnet=0,#REF!,(Lwl)^DL$3)</f>
        <v>#REF!</v>
      </c>
      <c r="DM115" s="136" t="e">
        <f>IF(SeilBeregnet=0,#REF!,(Dypg/Loa)^DM$3*5*DM$7)</f>
        <v>#REF!</v>
      </c>
      <c r="DO115" s="110" t="str">
        <f t="shared" ref="DO115:DO118" si="980">IF(SeilBeregnet=0,"-",Skaleringsfaktor*(1*(LBf+SaDeplf)*Lf*PropF+Strikkf2)+ErfaringsF+Dyp_F)</f>
        <v>-</v>
      </c>
      <c r="DP115" s="110" t="str">
        <f t="shared" si="211"/>
        <v>-</v>
      </c>
      <c r="DR115" s="110" t="str">
        <f t="shared" si="212"/>
        <v>-</v>
      </c>
      <c r="DS115" s="125" t="str">
        <f>IF($DQ115=0,"-",DR115-$DO115)</f>
        <v>-</v>
      </c>
      <c r="DT115" s="110" t="str">
        <f>IF(SeilBeregnet=0,"-",DT$7*(DT$4*DV115*DW115*DX115*PropF+DT$6)+ErfaringsF+Dyp_F)</f>
        <v>-</v>
      </c>
      <c r="DU115" s="125" t="str">
        <f>IF($DQ115=0,"-",DT115-$DO115)</f>
        <v>-</v>
      </c>
      <c r="DV115" s="110" t="e">
        <f>IF(SeilBeregnet=0,#REF!,SeilBeregnet^0.5/Depl^0.33333)</f>
        <v>#REF!</v>
      </c>
      <c r="DW115" s="110" t="e">
        <f>IF(SeilBeregnet=0,#REF!,Lwl^0.3333)</f>
        <v>#REF!</v>
      </c>
      <c r="DX115" s="110" t="e">
        <f>IF(SeilBeregnet=0,#REF!,((Loa+Lwl)/Bredde)^DX$3)</f>
        <v>#REF!</v>
      </c>
      <c r="DZ115" s="110" t="str">
        <f>IF(SeilBeregnet=0,"-",DZ$7*(DZ$4*EB115*EC115*ED115*PropF+DZ$6)+ErfaringsF+Dyp_F)</f>
        <v>-</v>
      </c>
      <c r="EB115" s="110" t="e">
        <f>IF(SeilBeregnet=0,#REF!,SeilBeregnet^0.5/Depl^0.33333)</f>
        <v>#REF!</v>
      </c>
      <c r="EC115" s="110" t="e">
        <f>IF(SeilBeregnet=0,#REF!,Lwl^EC$3)</f>
        <v>#REF!</v>
      </c>
      <c r="ED115" s="110" t="e">
        <f>IF(SeilBeregnet=0,#REF!,((Loa+Lwl)/Bredde)^ED$3)</f>
        <v>#REF!</v>
      </c>
      <c r="EE115" s="110" t="str">
        <f>IF(SeilBeregnet=0,"-",EE$7*(EE$4*EG115+EE$6)*EJ115*PropF+ErfaringsF+Dyp_F)</f>
        <v>-</v>
      </c>
      <c r="EG115" s="110" t="e">
        <f>IF(SeilBeregnet=0,#REF!,(EH115*EI115)^EG$3)</f>
        <v>#REF!</v>
      </c>
      <c r="EH115" s="110" t="e">
        <f>IF(SeilBeregnet=0,#REF!,SeilBeregnet^0.5/Depl^0.33333)</f>
        <v>#REF!</v>
      </c>
      <c r="EI115" s="110" t="e">
        <f>IF(SeilBeregnet=0,#REF!,((Loa+Lwl)/Bredde)^EI$3)</f>
        <v>#REF!</v>
      </c>
      <c r="EJ115" s="110" t="e">
        <f>IF(SeilBeregnet=0,#REF!,Lwl^EJ$3)</f>
        <v>#REF!</v>
      </c>
      <c r="EK115" s="110" t="str">
        <f>IF(SeilBeregnet=0,"-",EK$7*(EK$4*EM:EM+EK$6)*EP:EP*PropF+ErfaringsF+Dyp_F)</f>
        <v>-</v>
      </c>
      <c r="EM115" s="110" t="e">
        <f>IF(SeilBeregnet=0,#REF!,(EN:EN*EO:EO)^EM$3)</f>
        <v>#REF!</v>
      </c>
      <c r="EN115" s="110" t="e">
        <f>IF(SeilBeregnet=0,#REF!,SeilBeregnet^0.5/Depl^0.33333)</f>
        <v>#REF!</v>
      </c>
      <c r="EO115" s="110" t="e">
        <f>IF(SeilBeregnet=0,#REF!,((Loa+Lwl)/Bredde/6)^EO$3)</f>
        <v>#REF!</v>
      </c>
      <c r="EP115" s="110" t="e">
        <f>IF(SeilBeregnet=0,#REF!,(Lwl*0.7+Loa*0.3)^EP$3)</f>
        <v>#REF!</v>
      </c>
      <c r="EQ115" s="110" t="str">
        <f>IF(SeilBeregnet=0,"-",EQ$7*(ES:ES+EQ$6)*EV:EV*PropF+ErfaringsF+Dyp_F)</f>
        <v>-</v>
      </c>
      <c r="ES115" s="110" t="e">
        <f>(ET:ET*EU:EU)^ES$3</f>
        <v>#REF!</v>
      </c>
      <c r="ET115" s="110" t="e">
        <f>IF(SeilBeregnet=0,#REF!,SeilBeregnet^0.5/Depl^0.3333)</f>
        <v>#REF!</v>
      </c>
      <c r="EU115" s="110" t="e">
        <f>IF(SeilBeregnet=0,#REF!,((Loa+Lwl)/Bredde/6)^EU$3)</f>
        <v>#REF!</v>
      </c>
      <c r="EV115" s="110" t="e">
        <f>IF(SeilBeregnet=0,#REF!,(Lwl*0.7+Loa*0.3)^EV$3)</f>
        <v>#REF!</v>
      </c>
      <c r="EW115" s="110" t="str">
        <f>IF(SeilBeregnet=0,"-",EW$7*(EY:EY+EW$6)*FB:FB*PropF+ErfaringsF+Dyp_F)</f>
        <v>-</v>
      </c>
      <c r="EX115" s="144" t="str">
        <f>IF($DQ115=0,"-",(EW115-$DO115)*100)</f>
        <v>-</v>
      </c>
      <c r="EY115" s="110" t="e">
        <f>(EZ:EZ*FA:FA)^EY$3</f>
        <v>#REF!</v>
      </c>
      <c r="EZ115" s="136" t="e">
        <f>IF(SeilBeregnet=0,#REF!,(SeilBeregnet^0.5/(Depl^0.3333))^EZ$3)</f>
        <v>#REF!</v>
      </c>
      <c r="FA115" s="136" t="e">
        <f>IF(SeilBeregnet=0,#REF!,((Loa+Lwl)/Bredde/6)^FA$3)</f>
        <v>#REF!</v>
      </c>
      <c r="FB115" s="110" t="e">
        <f>IF(SeilBeregnet=0,#REF!,(Lwl*0.07+Loa*0.03)^FB$3)</f>
        <v>#REF!</v>
      </c>
      <c r="FC115" s="110" t="str">
        <f>IF(SeilBeregnet=0,"-",FC$7*(FE:FE+FC$6)*FI:FI*PropF+ErfaringsF+Dyp_F)</f>
        <v>-</v>
      </c>
      <c r="FD115" s="144" t="str">
        <f>IF($DQ115=0,"-",(FC115-$DO115)*100)</f>
        <v>-</v>
      </c>
      <c r="FE115" s="110" t="e">
        <f>(FF:FF+FG:FG+FH:FH)^FE$3+FE$7</f>
        <v>#REF!</v>
      </c>
      <c r="FF115" s="136" t="e">
        <f>IF(SeilBeregnet=0,#REF!,(SeilBeregnet^0.5/(Depl^0.3333))^FF$3)</f>
        <v>#REF!</v>
      </c>
      <c r="FG115" s="136" t="e">
        <f>IF(SeilBeregnet=0,#REF!,(SeilBeregnet^0.5/Lwl*FG$7)^FG$3)</f>
        <v>#REF!</v>
      </c>
      <c r="FH115" s="136" t="e">
        <f>IF(SeilBeregnet=0,#REF!,((Loa)/Bredde)^FH$3*FH$7)</f>
        <v>#REF!</v>
      </c>
      <c r="FI115" s="110" t="e">
        <f>IF(SeilBeregnet=0,#REF!,(Lwl)^FI$3)</f>
        <v>#REF!</v>
      </c>
      <c r="FJ115" s="110" t="str">
        <f>IF(SeilBeregnet=0,"-",FJ$7*(FL:FL+FJ$6)*FO:FO*PropF+ErfaringsF+Dyp_F)</f>
        <v>-</v>
      </c>
      <c r="FK115" s="144" t="str">
        <f>IF($DQ115=0,"-",(FJ115-$DO115)*100)</f>
        <v>-</v>
      </c>
      <c r="FL115" s="110" t="e">
        <f>(FM:FM*FN:FN)^FL$3</f>
        <v>#REF!</v>
      </c>
      <c r="FM115" s="136" t="e">
        <f>IF(SeilBeregnet=0,#REF!,(SeilBeregnet^0.5/(Depl^0.3333))^FM$3)</f>
        <v>#REF!</v>
      </c>
      <c r="FN115" s="136" t="e">
        <f>IF(SeilBeregnet=0,#REF!,(Loa/Bredde)^FN$3)</f>
        <v>#REF!</v>
      </c>
      <c r="FO115" s="110" t="e">
        <f>IF(SeilBeregnet=0,#REF!,Lwl^FO$3)</f>
        <v>#REF!</v>
      </c>
      <c r="FQ115">
        <v>0.95</v>
      </c>
      <c r="FR115" s="64" t="str">
        <f>IF(SeilBeregnet=0,"-",0.06*2.43^(1/2)*(SeilBeregnet^(1/2)/Depl^(1/3)+(Loa/Bredde)^(1/2)+5*(Dypg/Loa)^(1/2))*Lwl^(1/4)*FQ115)</f>
        <v>-</v>
      </c>
      <c r="FS115" s="480" t="s">
        <v>485</v>
      </c>
      <c r="FT115" s="59" t="s">
        <v>541</v>
      </c>
      <c r="FU115" s="475" t="s">
        <v>542</v>
      </c>
      <c r="FV115" s="542" t="s">
        <v>694</v>
      </c>
      <c r="FW115" s="59" t="s">
        <v>695</v>
      </c>
      <c r="FX115" s="59" t="s">
        <v>696</v>
      </c>
      <c r="FY115" s="59" t="s">
        <v>455</v>
      </c>
      <c r="FZ115" s="59" t="s">
        <v>522</v>
      </c>
      <c r="GB115" s="59" t="s">
        <v>522</v>
      </c>
      <c r="GC115" s="475" t="s">
        <v>522</v>
      </c>
      <c r="GD115" s="60" t="s">
        <v>522</v>
      </c>
      <c r="GE115" s="60" t="s">
        <v>522</v>
      </c>
      <c r="GF115" s="60" t="s">
        <v>522</v>
      </c>
      <c r="GG115" s="60" t="s">
        <v>522</v>
      </c>
      <c r="GI115" s="59" t="s">
        <v>514</v>
      </c>
      <c r="GJ115" s="59" t="s">
        <v>506</v>
      </c>
      <c r="GK115" s="59" t="s">
        <v>508</v>
      </c>
      <c r="GL115" s="59" t="s">
        <v>510</v>
      </c>
      <c r="GM115" s="59">
        <v>1913</v>
      </c>
      <c r="GN115" s="59" t="s">
        <v>470</v>
      </c>
      <c r="GO115" s="59" t="s">
        <v>511</v>
      </c>
      <c r="GP115" s="59" t="s">
        <v>522</v>
      </c>
    </row>
    <row r="116" spans="1:198" ht="15.6" x14ac:dyDescent="0.3">
      <c r="A116" s="62" t="s">
        <v>27</v>
      </c>
      <c r="B116" s="223"/>
      <c r="C116" s="63" t="str">
        <f>C115</f>
        <v>Gaffel</v>
      </c>
      <c r="D116" s="63"/>
      <c r="E116" s="63"/>
      <c r="F116" s="63"/>
      <c r="G116" s="56"/>
      <c r="H116" s="209">
        <f>TBFavrundet</f>
        <v>91.5</v>
      </c>
      <c r="I116" s="65">
        <f>COUNTA(O116:AD116)</f>
        <v>5</v>
      </c>
      <c r="J116" s="228">
        <f>SUM(O116:AD116)</f>
        <v>129.6</v>
      </c>
      <c r="K116" s="119">
        <f>Seilareal/Depl^0.667/K$7</f>
        <v>1.1504283211449049</v>
      </c>
      <c r="L116" s="119">
        <f>Seilareal/Lwl/Lwl/L$7</f>
        <v>1.2789059414979003</v>
      </c>
      <c r="M116" s="95">
        <f>RiggF</f>
        <v>0.77723765432098768</v>
      </c>
      <c r="N116" s="265">
        <f>StHfaktor</f>
        <v>0.99653074665004382</v>
      </c>
      <c r="O116" s="147"/>
      <c r="P116" s="147"/>
      <c r="Q116" s="88">
        <f t="shared" ref="Q116:Q117" si="981">Q115</f>
        <v>31.5</v>
      </c>
      <c r="R116" s="147"/>
      <c r="S116" s="147"/>
      <c r="T116" s="88">
        <f t="shared" ref="T116:U116" si="982">T115</f>
        <v>24.2</v>
      </c>
      <c r="U116" s="88">
        <f t="shared" si="982"/>
        <v>46.2</v>
      </c>
      <c r="V116" s="148"/>
      <c r="W116" s="148"/>
      <c r="X116" s="88">
        <f t="shared" ref="X116:Y116" si="983">X115</f>
        <v>14.8</v>
      </c>
      <c r="Y116" s="88">
        <f t="shared" si="983"/>
        <v>12.9</v>
      </c>
      <c r="Z116" s="147"/>
      <c r="AA116" s="147"/>
      <c r="AB116" s="147"/>
      <c r="AC116" s="147"/>
      <c r="AD116" s="147"/>
      <c r="AE116" s="260">
        <f t="shared" ref="AE116:AE118" si="984">AE115</f>
        <v>12.06</v>
      </c>
      <c r="AF116" s="375">
        <f t="shared" ref="AF116:AH118" si="985" xml:space="preserve"> AF115</f>
        <v>0</v>
      </c>
      <c r="AG116" s="377"/>
      <c r="AH116" s="375">
        <f t="shared" si="985"/>
        <v>0</v>
      </c>
      <c r="AI116" s="377"/>
      <c r="AJ116" s="295" t="str">
        <f t="shared" ref="AJ116:AJ118" si="986" xml:space="preserve"> AJ115</f>
        <v>RS</v>
      </c>
      <c r="AK116" s="47">
        <f>VLOOKUP(AJ116,Skrogform!$1:$1048576,3,FALSE)</f>
        <v>0.97</v>
      </c>
      <c r="AL116" s="66">
        <f t="shared" ref="AL116:AT116" si="987">AL115</f>
        <v>14.25</v>
      </c>
      <c r="AM116" s="66">
        <f t="shared" si="987"/>
        <v>12.4</v>
      </c>
      <c r="AN116" s="66">
        <f t="shared" si="987"/>
        <v>5.05</v>
      </c>
      <c r="AO116" s="66">
        <f t="shared" si="987"/>
        <v>2.35</v>
      </c>
      <c r="AP116" s="66">
        <f t="shared" si="987"/>
        <v>33</v>
      </c>
      <c r="AQ116" s="66">
        <f t="shared" si="987"/>
        <v>5</v>
      </c>
      <c r="AR116" s="66">
        <f t="shared" si="987"/>
        <v>5</v>
      </c>
      <c r="AS116" s="284">
        <f t="shared" si="987"/>
        <v>0</v>
      </c>
      <c r="AT116" s="284">
        <f t="shared" si="987"/>
        <v>1300</v>
      </c>
      <c r="AU116" s="284">
        <f t="shared" ref="AU116:AV116" si="988">AU115</f>
        <v>300</v>
      </c>
      <c r="AV116" s="284">
        <f t="shared" si="988"/>
        <v>300</v>
      </c>
      <c r="AW116" s="284"/>
      <c r="AX116" s="284">
        <f>AX115</f>
        <v>100</v>
      </c>
      <c r="AY116" s="68"/>
      <c r="AZ116" s="68"/>
      <c r="BA116" s="289"/>
      <c r="BB116" s="68"/>
      <c r="BC116" s="179"/>
      <c r="BD116" s="68"/>
      <c r="BE116" s="68"/>
      <c r="BF116" s="67" t="str">
        <f t="shared" ref="BF116:BH116" si="989" xml:space="preserve"> BF115</f>
        <v>Seilrett</v>
      </c>
      <c r="BG116" s="295">
        <f t="shared" si="989"/>
        <v>3</v>
      </c>
      <c r="BH116" s="295">
        <f t="shared" si="989"/>
        <v>90</v>
      </c>
      <c r="BI116" s="47">
        <f>IF((BF116="Fast"),(1.006248-(0.06415*((BH116/100*SQRT(BG116))/POWER(AP116,(1/3))))),1)</f>
        <v>1</v>
      </c>
      <c r="BJ116" s="61"/>
      <c r="BK116" s="61"/>
      <c r="BM116" s="51">
        <f>IF(O116=0,0,O116*BM$9)</f>
        <v>0</v>
      </c>
      <c r="BN116" s="51">
        <f>IF(P116=0,0,P116*BN$9)</f>
        <v>0</v>
      </c>
      <c r="BO116" s="51">
        <f>IF(Q116=0,0,Q116*BO$9)</f>
        <v>31.5</v>
      </c>
      <c r="BP116" s="51">
        <f>IF(R116=0,0,R116*BP$9)</f>
        <v>0</v>
      </c>
      <c r="BQ116" s="51">
        <f>IF(S116=0,0,S116*BQ$9)</f>
        <v>0</v>
      </c>
      <c r="BR116" s="51">
        <f>IF(T116=0,0,T116*BR$9)</f>
        <v>24.2</v>
      </c>
      <c r="BS116" s="52">
        <f>IF(COUNT(P116:T116)&gt;1,MINA(P116:T116)*BS$9,0)</f>
        <v>-7.26</v>
      </c>
      <c r="BT116" s="88">
        <f>IF(U116=0,0,U116*BT$9)</f>
        <v>36.96</v>
      </c>
      <c r="BU116" s="88">
        <f>IF(V116=0,0,V116*BU$9)</f>
        <v>0</v>
      </c>
      <c r="BV116" s="88">
        <f>IF(W116=0,0,W116*BV$9)</f>
        <v>0</v>
      </c>
      <c r="BW116" s="88">
        <f>IF(X116=0,0,X116*BW$9)</f>
        <v>8.8800000000000008</v>
      </c>
      <c r="BX116" s="88">
        <f>IF(Y116=0,0,Y116*BX$9)</f>
        <v>6.45</v>
      </c>
      <c r="BY116" s="88">
        <f>IF(Z116=0,0,Z116*BY$9)</f>
        <v>0</v>
      </c>
      <c r="BZ116" s="88">
        <f>IF(AA116=0,0,AA116*BZ$9)</f>
        <v>0</v>
      </c>
      <c r="CA116" s="88">
        <f>IF(AB116=0,0,AB116*CA$9)</f>
        <v>0</v>
      </c>
      <c r="CB116" s="88">
        <f>IF(AC116=0,0,AC116*CB$9)</f>
        <v>0</v>
      </c>
      <c r="CC116" s="88">
        <f>IF(AD116=0,0,AD116*CC$9)</f>
        <v>0</v>
      </c>
      <c r="CD116" s="103">
        <f>SUM(BM116:CC116)</f>
        <v>100.73</v>
      </c>
      <c r="CE116" s="52"/>
      <c r="CF116" s="107">
        <f>J116</f>
        <v>129.6</v>
      </c>
      <c r="CG116" s="104">
        <f>CD116/CF116</f>
        <v>0.77723765432098768</v>
      </c>
      <c r="CH116" s="53">
        <f>Seilareal/Lwl/Lwl</f>
        <v>0.8428720083246618</v>
      </c>
      <c r="CI116" s="119">
        <f>Seilareal/Depl^0.667/K$7</f>
        <v>1.1504283211449049</v>
      </c>
      <c r="CJ116" s="53">
        <f>Seilareal/Lwl/Lwl/SApRS1</f>
        <v>1.2789059414979003</v>
      </c>
      <c r="CK116" s="209"/>
      <c r="CL116" s="209">
        <f>_xlfn.SINGLE(IF((ROUND(_xlfn.SINGLE(TBF)/CL$6,3)*CL$6)*CL$4&lt;0.5,"-",(ROUND(_xlfn.SINGLE(TBF)/CL$6,3)*CL$6)*CL$4))</f>
        <v>91.5</v>
      </c>
      <c r="CM116" s="110">
        <f t="shared" si="234"/>
        <v>0.91484235720987805</v>
      </c>
      <c r="CN116" s="64">
        <f>IF(SeilBeregnet=0,"-",(SeilBeregnet)^(1/2)*StHfaktor/(Depl+DeplTillegg/1000+Vann/1000+Diesel/1000*0.84)^(1/3))</f>
        <v>3.0948310755982091</v>
      </c>
      <c r="CO116" s="64">
        <f t="shared" si="203"/>
        <v>1.624381070249878</v>
      </c>
      <c r="CP116" s="64">
        <f t="shared" si="204"/>
        <v>1.876529608701073</v>
      </c>
      <c r="CQ116" s="110">
        <f t="shared" si="205"/>
        <v>0.99653074665004382</v>
      </c>
      <c r="CR116" s="172">
        <f>IF(CS116=0,"-",IF(CH116="TBF","-",CR$7*CS116))</f>
        <v>0.91105882352941181</v>
      </c>
      <c r="CS116" s="163">
        <f>CS115</f>
        <v>0.88</v>
      </c>
      <c r="CT116" s="172">
        <f>IF(CU116=0,"-",IF(CL116="TBF","-",CT$7*CU116))</f>
        <v>0.91859649122807019</v>
      </c>
      <c r="CU116" s="163">
        <f>CU115</f>
        <v>1.19</v>
      </c>
      <c r="CV116" s="195" t="s">
        <v>145</v>
      </c>
      <c r="CW116" s="64">
        <v>0.88</v>
      </c>
      <c r="CX116" s="64">
        <v>0.87</v>
      </c>
      <c r="CY116" s="64">
        <v>0.87</v>
      </c>
      <c r="CZ116" s="154">
        <v>0.92</v>
      </c>
      <c r="DA116" s="64">
        <f t="shared" si="210"/>
        <v>2.1022200593437423</v>
      </c>
      <c r="DB116" s="49">
        <f t="shared" si="206"/>
        <v>12.737127371273713</v>
      </c>
      <c r="DC116" s="50">
        <f>DB$7*IF(DB116&lt;DB$5,-0.04,IF(DB116&lt;DB$5*1.1,-0.03,IF(DB116&lt;DB$5*1.2,-0.02,IF(DB116&lt;DB$5*1.3,-0.01,0))))</f>
        <v>0</v>
      </c>
      <c r="DE116" s="110">
        <f>IF(SeilBeregnet=0,"-",DE$7*(DG:DG+DE$6)*DL:DL*PropF+ErfaringsF+Dyp_F)</f>
        <v>0.91148506026783371</v>
      </c>
      <c r="DF116" s="144">
        <f>IF($DQ116=0,"-",(DE116-$DO116)*100)</f>
        <v>-3.1651390463999229</v>
      </c>
      <c r="DG116" s="110">
        <f>SUM(DH116:DK116)^DG$3+DG$7</f>
        <v>4.8091991276141188</v>
      </c>
      <c r="DH116" s="136">
        <f>IF(SeilBeregnet=0,DH115,(SeilBeregnet^0.5/(Depl^0.3333))^DH$3*DH$7)</f>
        <v>3.129383013208193</v>
      </c>
      <c r="DI116" s="136">
        <f>IF(SeilBeregnet=0,DI115,(SeilBeregnet^0.5/Lwl)^DI$3*DI$7)</f>
        <v>0</v>
      </c>
      <c r="DJ116" s="136">
        <f>IF(SeilBeregnet=0,DJ115,(0.1*Loa/Depl^0.3333)^DJ$3*DJ$7)</f>
        <v>0</v>
      </c>
      <c r="DK116" s="136">
        <f>IF(SeilBeregnet=0,DK115,((Loa)/Bredde)^DK$3*DK$7)</f>
        <v>1.6798161144059256</v>
      </c>
      <c r="DL116" s="110">
        <f>IF(SeilBeregnet=0,DL115,(Lwl)^DL$3)</f>
        <v>1.876529608701073</v>
      </c>
      <c r="DM116" s="136">
        <f>IF(SeilBeregnet=0,DM115,(Dypg/Loa)^DM$3*5*DM$7)</f>
        <v>2.0304696544257586</v>
      </c>
      <c r="DO116" s="74">
        <f t="shared" si="980"/>
        <v>0.94313645073183294</v>
      </c>
      <c r="DP116" s="110">
        <f t="shared" si="211"/>
        <v>0.93405611238864927</v>
      </c>
      <c r="DQ116" s="125">
        <f>DP116-DO116</f>
        <v>-9.0803383431836693E-3</v>
      </c>
      <c r="DR116" s="110">
        <f t="shared" si="212"/>
        <v>0.90950638879866907</v>
      </c>
      <c r="DS116" s="125">
        <f>IF($DQ116=0,"-",DR116-$DO116)</f>
        <v>-3.3630061933163868E-2</v>
      </c>
      <c r="DT116" s="110">
        <f>IF(SeilBeregnet=0,"-",DT$7*(DT$4*DV116*DW116*DX116*PropF+DT$6)+ErfaringsF+Dyp_F)</f>
        <v>0.91344391492029064</v>
      </c>
      <c r="DU116" s="125">
        <f>IF($DQ116=0,"-",DT116-$DO116)</f>
        <v>-2.9692535811542298E-2</v>
      </c>
      <c r="DV116" s="110">
        <f>IF(SeilBeregnet=0,DV115,SeilBeregnet^0.5/Depl^0.33333)</f>
        <v>3.1290547730828524</v>
      </c>
      <c r="DW116" s="110">
        <f>IF(SeilBeregnet=0,DW115,Lwl^0.3333)</f>
        <v>2.3143948149199915</v>
      </c>
      <c r="DX116" s="110">
        <f>IF(SeilBeregnet=0,DX115,((Loa+Lwl)/Bredde)^DX$3)</f>
        <v>1.5156588468416963</v>
      </c>
      <c r="DZ116" s="110">
        <f>IF(SeilBeregnet=0,"-",DZ$7*(DZ$4*EB116*EC116*ED116*PropF+DZ$6)+ErfaringsF+Dyp_F)</f>
        <v>0.90604095698453413</v>
      </c>
      <c r="EB116" s="110">
        <f>IF(SeilBeregnet=0,EB115,SeilBeregnet^0.5/Depl^0.33333)</f>
        <v>3.1290547730828524</v>
      </c>
      <c r="EC116" s="110">
        <f>IF(SeilBeregnet=0,EC115,Lwl^EC$3)</f>
        <v>2.3145696298317247</v>
      </c>
      <c r="ED116" s="110">
        <f>IF(SeilBeregnet=0,ED115,((Loa+Lwl)/Bredde)^ED$3)</f>
        <v>1.7409161931067094</v>
      </c>
      <c r="EE116" s="110">
        <f>IF(SeilBeregnet=0,"-",EE$7*(EE$4*EG116+EE$6)*EJ116*PropF+ErfaringsF+Dyp_F)</f>
        <v>0.91090842995634835</v>
      </c>
      <c r="EG116" s="110">
        <f>IF(SeilBeregnet=0,EG115,(EH116*EI116)^EG$3)</f>
        <v>4.7425795490752618</v>
      </c>
      <c r="EH116" s="110">
        <f>IF(SeilBeregnet=0,EH115,SeilBeregnet^0.5/Depl^0.33333)</f>
        <v>3.1290547730828524</v>
      </c>
      <c r="EI116" s="110">
        <f>IF(SeilBeregnet=0,EI115,((Loa+Lwl)/Bredde)^EI$3)</f>
        <v>1.5156588468416963</v>
      </c>
      <c r="EJ116" s="110">
        <f>IF(SeilBeregnet=0,EJ115,Lwl^EJ$3)</f>
        <v>1.876529608701073</v>
      </c>
      <c r="EK116" s="110">
        <f>IF(SeilBeregnet=0,"-",EK$7*(EK$4*EM:EM+EK$6)*EP:EP*PropF+ErfaringsF+Dyp_F)</f>
        <v>0.91395084402198312</v>
      </c>
      <c r="EM116" s="110">
        <f>IF(SeilBeregnet=0,EM115,(EN:EN*EO:EO)^EM$3)</f>
        <v>1.7407580243161411</v>
      </c>
      <c r="EN116" s="110">
        <f>IF(SeilBeregnet=0,EN115,SeilBeregnet^0.5/Depl^0.33333)</f>
        <v>3.1290547730828524</v>
      </c>
      <c r="EO116" s="110">
        <f>IF(SeilBeregnet=0,EO115,((Loa+Lwl)/Bredde/6)^EO$3)</f>
        <v>0.96841976857935907</v>
      </c>
      <c r="EP116" s="110">
        <f>IF(SeilBeregnet=0,EP115,(Lwl*0.7+Loa*0.3)^EP$3)</f>
        <v>1.8971835674396498</v>
      </c>
      <c r="EQ116" s="110">
        <f>IF(SeilBeregnet=0,"-",EQ$7*(ES:ES+EQ$6)*EV:EV*PropF+ErfaringsF+Dyp_F)</f>
        <v>0.90375039589315154</v>
      </c>
      <c r="ES116" s="110">
        <f>(ET:ET*EU:EU)^ES$3</f>
        <v>1.7408493253143007</v>
      </c>
      <c r="ET116" s="110">
        <f>IF(SeilBeregnet=0,ET115,SeilBeregnet^0.5/Depl^0.3333)</f>
        <v>3.129383013208193</v>
      </c>
      <c r="EU116" s="110">
        <f>IF(SeilBeregnet=0,EU115,((Loa+Lwl)/Bredde/6)^EU$3)</f>
        <v>0.96841976857935907</v>
      </c>
      <c r="EV116" s="110">
        <f>IF(SeilBeregnet=0,EV115,(Lwl*0.7+Loa*0.3)^EV$3)</f>
        <v>1.8971835674396498</v>
      </c>
      <c r="EW116" s="110">
        <f>IF(SeilBeregnet=0,"-",EW$7*(EY:EY+EW$6)*FB:FB*PropF+ErfaringsF+Dyp_F)</f>
        <v>0.9002838984146061</v>
      </c>
      <c r="EX116" s="144">
        <f>IF($DQ116=0,"-",(EW116-$DO116)*100)</f>
        <v>-4.2852552317226849</v>
      </c>
      <c r="EY116" s="110">
        <f>(EZ:EZ*FA:FA)^EY$3</f>
        <v>2.9348507018404932</v>
      </c>
      <c r="EZ116" s="136">
        <f>IF(SeilBeregnet=0,EZ115,(SeilBeregnet^0.5/(Depl^0.3333))^EZ$3)</f>
        <v>3.129383013208193</v>
      </c>
      <c r="FA116" s="136">
        <f>IF(SeilBeregnet=0,FA115,((Loa+Lwl)/Bredde/6)^FA$3)</f>
        <v>0.93783684817529944</v>
      </c>
      <c r="FB116" s="110">
        <f>IF(SeilBeregnet=0,FB115,(Lwl*0.07+Loa*0.03)^FB$3)</f>
        <v>1.0668647214433669</v>
      </c>
      <c r="FC116" s="110">
        <f>IF(SeilBeregnet=0,"-",FC$7*(FE:FE+FC$6)*FI:FI*PropF+ErfaringsF+Dyp_F)</f>
        <v>0.9220976346252644</v>
      </c>
      <c r="FD116" s="144">
        <f>IF($DQ116=0,"-",(FC116-$DO116)*100)</f>
        <v>-2.1038816106568548</v>
      </c>
      <c r="FE116" s="110">
        <f>(FF:FF+FG:FG+FH:FH)^FE$3+FE$7</f>
        <v>5.1185889364473409</v>
      </c>
      <c r="FF116" s="136">
        <f>IF(SeilBeregnet=0,FF115,(SeilBeregnet^0.5/(Depl^0.3333))^FF$3)</f>
        <v>3.129383013208193</v>
      </c>
      <c r="FG116" s="136">
        <f>IF(SeilBeregnet=0,FG115,(SeilBeregnet^0.5/Lwl*FG$7)^FG$3)</f>
        <v>0.8093898088332222</v>
      </c>
      <c r="FH116" s="136">
        <f>IF(SeilBeregnet=0,FH115,((Loa)/Bredde)^FH$3*FH$7)</f>
        <v>1.6798161144059256</v>
      </c>
      <c r="FI116" s="110">
        <f>IF(SeilBeregnet=0,FI115,(Lwl)^FI$3)</f>
        <v>1.876529608701073</v>
      </c>
      <c r="FJ116" s="110">
        <f>IF(SeilBeregnet=0,"-",FJ$7*(FL:FL+FJ$6)*FO:FO*PropF+ErfaringsF+Dyp_F)</f>
        <v>0.9032731130406606</v>
      </c>
      <c r="FK116" s="144">
        <f>IF($DQ116=0,"-",(FJ116-$DO116)*100)</f>
        <v>-3.986333769117234</v>
      </c>
      <c r="FL116" s="110">
        <f>(FM:FM*FN:FN)^FL$3</f>
        <v>5.256788013735294</v>
      </c>
      <c r="FM116" s="136">
        <f>IF(SeilBeregnet=0,FM115,(SeilBeregnet^0.5/(Depl^0.3333))^FM$3)</f>
        <v>3.129383013208193</v>
      </c>
      <c r="FN116" s="136">
        <f>IF(SeilBeregnet=0,FN115,(Loa/Bredde)^FN$3)</f>
        <v>1.6798161144059256</v>
      </c>
      <c r="FO116" s="110">
        <f>IF(SeilBeregnet=0,FO115,Lwl^FO$3)</f>
        <v>1.876529608701073</v>
      </c>
      <c r="FQ116">
        <v>0.95</v>
      </c>
      <c r="FR116" s="64">
        <f>IF(SeilBeregnet=0,"-",0.06*2.43^(1/2)*(SeilBeregnet^(1/2)/Depl^(1/3)+(Loa/Bredde)^(1/2)+5*(Dypg/Loa)^(1/2))*Lwl^(1/4)*FQ116)</f>
        <v>1.1403687994903069</v>
      </c>
      <c r="FS116" s="479"/>
      <c r="FT116" s="18"/>
      <c r="FU116" s="481"/>
      <c r="FV116" s="504"/>
      <c r="FW116" s="18"/>
      <c r="FX116" s="18"/>
      <c r="FY116" s="18"/>
      <c r="FZ116" s="18"/>
      <c r="GB116" s="18"/>
      <c r="GC116" s="481"/>
      <c r="GD116" s="8"/>
      <c r="GE116" s="8"/>
      <c r="GF116" s="8"/>
      <c r="GG116" s="8"/>
      <c r="GI116" s="18"/>
      <c r="GJ116" s="18"/>
      <c r="GK116" s="18"/>
      <c r="GL116" s="18"/>
      <c r="GM116" s="18"/>
      <c r="GN116" s="18"/>
      <c r="GO116" s="18"/>
      <c r="GP116" s="18"/>
    </row>
    <row r="117" spans="1:198" ht="15.6" x14ac:dyDescent="0.3">
      <c r="A117" s="62" t="s">
        <v>28</v>
      </c>
      <c r="B117" s="223"/>
      <c r="C117" s="63" t="str">
        <f t="shared" ref="C117:C118" si="990">C116</f>
        <v>Gaffel</v>
      </c>
      <c r="G117" s="56"/>
      <c r="H117" s="209">
        <f>TBFavrundet</f>
        <v>89.5</v>
      </c>
      <c r="I117" s="65">
        <f>COUNTA(O117:AD117)</f>
        <v>4</v>
      </c>
      <c r="J117" s="228">
        <f>SUM(O117:AD117)</f>
        <v>116.7</v>
      </c>
      <c r="K117" s="119">
        <f>Seilareal/Depl^0.667/K$7</f>
        <v>1.0359180947346485</v>
      </c>
      <c r="L117" s="119">
        <f>Seilareal/Lwl/Lwl/L$7</f>
        <v>1.1516074334321371</v>
      </c>
      <c r="M117" s="95">
        <f>RiggF</f>
        <v>0.80788346186803772</v>
      </c>
      <c r="N117" s="265">
        <f>StHfaktor</f>
        <v>0.99653074665004382</v>
      </c>
      <c r="O117" s="147"/>
      <c r="P117" s="147"/>
      <c r="Q117" s="88">
        <f t="shared" si="981"/>
        <v>31.5</v>
      </c>
      <c r="R117" s="147"/>
      <c r="S117" s="147"/>
      <c r="T117" s="88">
        <f t="shared" ref="T117:U117" si="991">T116</f>
        <v>24.2</v>
      </c>
      <c r="U117" s="88">
        <f t="shared" si="991"/>
        <v>46.2</v>
      </c>
      <c r="V117" s="148"/>
      <c r="W117" s="148"/>
      <c r="X117" s="88">
        <f t="shared" ref="X117" si="992">X116</f>
        <v>14.8</v>
      </c>
      <c r="Y117" s="147"/>
      <c r="Z117" s="147"/>
      <c r="AA117" s="147"/>
      <c r="AB117" s="147"/>
      <c r="AC117" s="147"/>
      <c r="AD117" s="147"/>
      <c r="AE117" s="260">
        <f t="shared" si="984"/>
        <v>12.06</v>
      </c>
      <c r="AF117" s="375">
        <f t="shared" si="985"/>
        <v>0</v>
      </c>
      <c r="AG117" s="377"/>
      <c r="AH117" s="375">
        <f t="shared" si="985"/>
        <v>0</v>
      </c>
      <c r="AI117" s="377"/>
      <c r="AJ117" s="295" t="str">
        <f t="shared" si="986"/>
        <v>RS</v>
      </c>
      <c r="AK117" s="47">
        <f>VLOOKUP(AJ117,Skrogform!$1:$1048576,3,FALSE)</f>
        <v>0.97</v>
      </c>
      <c r="AL117" s="66">
        <f t="shared" ref="AL117:AT117" si="993">AL116</f>
        <v>14.25</v>
      </c>
      <c r="AM117" s="66">
        <f t="shared" si="993"/>
        <v>12.4</v>
      </c>
      <c r="AN117" s="66">
        <f t="shared" si="993"/>
        <v>5.05</v>
      </c>
      <c r="AO117" s="66">
        <f t="shared" si="993"/>
        <v>2.35</v>
      </c>
      <c r="AP117" s="66">
        <f t="shared" si="993"/>
        <v>33</v>
      </c>
      <c r="AQ117" s="66">
        <f t="shared" si="993"/>
        <v>5</v>
      </c>
      <c r="AR117" s="66">
        <f t="shared" si="993"/>
        <v>5</v>
      </c>
      <c r="AS117" s="284">
        <f t="shared" si="993"/>
        <v>0</v>
      </c>
      <c r="AT117" s="284">
        <f t="shared" si="993"/>
        <v>1300</v>
      </c>
      <c r="AU117" s="284">
        <f t="shared" ref="AU117:AV117" si="994">AU116</f>
        <v>300</v>
      </c>
      <c r="AV117" s="284">
        <f t="shared" si="994"/>
        <v>300</v>
      </c>
      <c r="AW117" s="284"/>
      <c r="AX117" s="284">
        <f>AX116</f>
        <v>100</v>
      </c>
      <c r="AY117" s="68"/>
      <c r="AZ117" s="68"/>
      <c r="BA117" s="289"/>
      <c r="BB117" s="68"/>
      <c r="BC117" s="179"/>
      <c r="BD117" s="68"/>
      <c r="BE117" s="68"/>
      <c r="BF117" s="67" t="str">
        <f t="shared" ref="BF117:BH117" si="995" xml:space="preserve"> BF116</f>
        <v>Seilrett</v>
      </c>
      <c r="BG117" s="295">
        <f t="shared" si="995"/>
        <v>3</v>
      </c>
      <c r="BH117" s="295">
        <f t="shared" si="995"/>
        <v>90</v>
      </c>
      <c r="BI117" s="47">
        <f>IF((BF117="Fast"),(1.006248-(0.06415*((BH117/100*SQRT(BG117))/POWER(AP117,(1/3))))),1)</f>
        <v>1</v>
      </c>
      <c r="BJ117" s="61"/>
      <c r="BK117" s="61"/>
      <c r="BM117" s="51">
        <f>IF(O117=0,0,O117*BM$9)</f>
        <v>0</v>
      </c>
      <c r="BN117" s="51">
        <f>IF(P117=0,0,P117*BN$9)</f>
        <v>0</v>
      </c>
      <c r="BO117" s="51">
        <f>IF(Q117=0,0,Q117*BO$9)</f>
        <v>31.5</v>
      </c>
      <c r="BP117" s="51">
        <f>IF(R117=0,0,R117*BP$9)</f>
        <v>0</v>
      </c>
      <c r="BQ117" s="51">
        <f>IF(S117=0,0,S117*BQ$9)</f>
        <v>0</v>
      </c>
      <c r="BR117" s="51">
        <f>IF(T117=0,0,T117*BR$9)</f>
        <v>24.2</v>
      </c>
      <c r="BS117" s="52">
        <f>IF(COUNT(P117:T117)&gt;1,MINA(P117:T117)*BS$9,0)</f>
        <v>-7.26</v>
      </c>
      <c r="BT117" s="88">
        <f>IF(U117=0,0,U117*BT$9)</f>
        <v>36.96</v>
      </c>
      <c r="BU117" s="88">
        <f>IF(V117=0,0,V117*BU$9)</f>
        <v>0</v>
      </c>
      <c r="BV117" s="88">
        <f>IF(W117=0,0,W117*BV$9)</f>
        <v>0</v>
      </c>
      <c r="BW117" s="88">
        <f>IF(X117=0,0,X117*BW$9)</f>
        <v>8.8800000000000008</v>
      </c>
      <c r="BX117" s="88">
        <f>IF(Y117=0,0,Y117*BX$9)</f>
        <v>0</v>
      </c>
      <c r="BY117" s="88">
        <f>IF(Z117=0,0,Z117*BY$9)</f>
        <v>0</v>
      </c>
      <c r="BZ117" s="88">
        <f>IF(AA117=0,0,AA117*BZ$9)</f>
        <v>0</v>
      </c>
      <c r="CA117" s="88">
        <f>IF(AB117=0,0,AB117*CA$9)</f>
        <v>0</v>
      </c>
      <c r="CB117" s="88">
        <f>IF(AC117=0,0,AC117*CB$9)</f>
        <v>0</v>
      </c>
      <c r="CC117" s="88">
        <f>IF(AD117=0,0,AD117*CC$9)</f>
        <v>0</v>
      </c>
      <c r="CD117" s="103">
        <f>SUM(BM117:CC117)</f>
        <v>94.28</v>
      </c>
      <c r="CE117" s="52"/>
      <c r="CF117" s="107">
        <f>J117</f>
        <v>116.7</v>
      </c>
      <c r="CG117" s="104">
        <f>CD117/CF117</f>
        <v>0.80788346186803772</v>
      </c>
      <c r="CH117" s="53">
        <f>Seilareal/Lwl/Lwl</f>
        <v>0.75897502601456823</v>
      </c>
      <c r="CI117" s="119">
        <f>Seilareal/Depl^0.667/K$7</f>
        <v>1.0359180947346485</v>
      </c>
      <c r="CJ117" s="53">
        <f>Seilareal/Lwl/Lwl/SApRS1</f>
        <v>1.1516074334321371</v>
      </c>
      <c r="CK117" s="209"/>
      <c r="CL117" s="209">
        <f>(ROUND(TBF/CL$6,3)*CL$6)*CL$4</f>
        <v>89.5</v>
      </c>
      <c r="CM117" s="110">
        <f t="shared" si="234"/>
        <v>0.89531650564109977</v>
      </c>
      <c r="CN117" s="64">
        <f>IF(SeilBeregnet=0,"-",(SeilBeregnet)^(1/2)*StHfaktor/(Depl+DeplTillegg/1000+Vann/1000+Diesel/1000*0.84)^(1/3))</f>
        <v>2.994107016250501</v>
      </c>
      <c r="CO117" s="64">
        <f t="shared" si="203"/>
        <v>1.624381070249878</v>
      </c>
      <c r="CP117" s="64">
        <f t="shared" si="204"/>
        <v>1.876529608701073</v>
      </c>
      <c r="CQ117" s="110">
        <f t="shared" si="205"/>
        <v>0.99653074665004382</v>
      </c>
      <c r="CR117" s="172" t="str">
        <f>IF(CS117=0,"-",IF(CH117="TBF","-",CR$7*CS117))</f>
        <v>-</v>
      </c>
      <c r="CS117" s="162"/>
      <c r="CT117" s="172" t="str">
        <f>IF(CU117=0,"-",IF(CL117="TBF","-",CT$7*CU117))</f>
        <v>-</v>
      </c>
      <c r="CU117" s="164"/>
      <c r="CV117" s="195" t="s">
        <v>145</v>
      </c>
      <c r="CW117" s="64">
        <v>0.86</v>
      </c>
      <c r="CX117" s="64">
        <v>0.86</v>
      </c>
      <c r="CY117" s="64">
        <v>0.86</v>
      </c>
      <c r="CZ117" s="154">
        <v>0.89</v>
      </c>
      <c r="DA117" s="64">
        <f t="shared" si="210"/>
        <v>2.1022200593437423</v>
      </c>
      <c r="DB117" s="49">
        <f t="shared" si="206"/>
        <v>12.737127371273713</v>
      </c>
      <c r="DC117" s="50">
        <f>DB$7*IF(DB117&lt;DB$5,-0.04,IF(DB117&lt;DB$5*1.1,-0.03,IF(DB117&lt;DB$5*1.2,-0.02,IF(DB117&lt;DB$5*1.3,-0.01,0))))</f>
        <v>0</v>
      </c>
      <c r="DE117" s="110">
        <f>IF(SeilBeregnet=0,"-",DE$7*(DG:DG+DE$6)*DL:DL*PropF+ErfaringsF+Dyp_F)</f>
        <v>0.89218175018482115</v>
      </c>
      <c r="DF117" s="144" t="str">
        <f>IF($DQ117=0,"-",(DE117-$DO117)*100)</f>
        <v>-</v>
      </c>
      <c r="DG117" s="110">
        <f>SUM(DH117:DK117)^DG$3+DG$7</f>
        <v>4.707350544397614</v>
      </c>
      <c r="DH117" s="136">
        <f>IF(SeilBeregnet=0,DH116,(SeilBeregnet^0.5/(Depl^0.3333))^DH$3*DH$7)</f>
        <v>3.0275344299916882</v>
      </c>
      <c r="DI117" s="136">
        <f>IF(SeilBeregnet=0,DI116,(SeilBeregnet^0.5/Lwl)^DI$3*DI$7)</f>
        <v>0</v>
      </c>
      <c r="DJ117" s="136">
        <f>IF(SeilBeregnet=0,DJ116,(0.1*Loa/Depl^0.3333)^DJ$3*DJ$7)</f>
        <v>0</v>
      </c>
      <c r="DK117" s="136">
        <f>IF(SeilBeregnet=0,DK116,((Loa)/Bredde)^DK$3*DK$7)</f>
        <v>1.6798161144059256</v>
      </c>
      <c r="DL117" s="110">
        <f>IF(SeilBeregnet=0,DL116,(Lwl)^DL$3)</f>
        <v>1.876529608701073</v>
      </c>
      <c r="DM117" s="136">
        <f>IF(SeilBeregnet=0,DM116,(Dypg/Loa)^DM$3*5*DM$7)</f>
        <v>2.0304696544257586</v>
      </c>
      <c r="DO117" s="110">
        <f t="shared" si="980"/>
        <v>0.92300670684649477</v>
      </c>
      <c r="DP117" s="110">
        <f t="shared" si="211"/>
        <v>0.91007810237256059</v>
      </c>
      <c r="DR117" s="110">
        <f t="shared" si="212"/>
        <v>0.890838736884626</v>
      </c>
      <c r="DS117" s="125" t="str">
        <f>IF($DQ117=0,"-",DR117-$DO117)</f>
        <v>-</v>
      </c>
      <c r="DT117" s="110">
        <f>IF(SeilBeregnet=0,"-",DT$7*(DT$4*DV117*DW117*DX117*PropF+DT$6)+ErfaringsF+Dyp_F)</f>
        <v>0.89105743209508226</v>
      </c>
      <c r="DU117" s="125" t="str">
        <f>IF($DQ117=0,"-",DT117-$DO117)</f>
        <v>-</v>
      </c>
      <c r="DV117" s="110">
        <f>IF(SeilBeregnet=0,DV116,SeilBeregnet^0.5/Depl^0.33333)</f>
        <v>3.0272168727362869</v>
      </c>
      <c r="DW117" s="110">
        <f>IF(SeilBeregnet=0,DW116,Lwl^0.3333)</f>
        <v>2.3143948149199915</v>
      </c>
      <c r="DX117" s="110">
        <f>IF(SeilBeregnet=0,DX116,((Loa+Lwl)/Bredde)^DX$3)</f>
        <v>1.5156588468416963</v>
      </c>
      <c r="DZ117" s="110">
        <f>IF(SeilBeregnet=0,"-",DZ$7*(DZ$4*EB117*EC117*ED117*PropF+DZ$6)+ErfaringsF+Dyp_F)</f>
        <v>0.88606095777897531</v>
      </c>
      <c r="EB117" s="110">
        <f>IF(SeilBeregnet=0,EB116,SeilBeregnet^0.5/Depl^0.33333)</f>
        <v>3.0272168727362869</v>
      </c>
      <c r="EC117" s="110">
        <f>IF(SeilBeregnet=0,EC116,Lwl^EC$3)</f>
        <v>2.3145696298317247</v>
      </c>
      <c r="ED117" s="110">
        <f>IF(SeilBeregnet=0,ED116,((Loa+Lwl)/Bredde)^ED$3)</f>
        <v>1.7409161931067094</v>
      </c>
      <c r="EE117" s="110">
        <f>IF(SeilBeregnet=0,"-",EE$7*(EE$4*EG117+EE$6)*EJ117*PropF+ErfaringsF+Dyp_F)</f>
        <v>0.89005586235873702</v>
      </c>
      <c r="EG117" s="110">
        <f>IF(SeilBeregnet=0,EG116,(EH117*EI117)^EG$3)</f>
        <v>4.5882280344712063</v>
      </c>
      <c r="EH117" s="110">
        <f>IF(SeilBeregnet=0,EH116,SeilBeregnet^0.5/Depl^0.33333)</f>
        <v>3.0272168727362869</v>
      </c>
      <c r="EI117" s="110">
        <f>IF(SeilBeregnet=0,EI116,((Loa+Lwl)/Bredde)^EI$3)</f>
        <v>1.5156588468416963</v>
      </c>
      <c r="EJ117" s="110">
        <f>IF(SeilBeregnet=0,EJ116,Lwl^EJ$3)</f>
        <v>1.876529608701073</v>
      </c>
      <c r="EK117" s="110">
        <f>IF(SeilBeregnet=0,"-",EK$7*(EK$4*EM:EM+EK$6)*EP:EP*PropF+ErfaringsF+Dyp_F)</f>
        <v>0.89291218878497003</v>
      </c>
      <c r="EM117" s="110">
        <f>IF(SeilBeregnet=0,EM116,(EN:EN*EO:EO)^EM$3)</f>
        <v>1.7121964441426709</v>
      </c>
      <c r="EN117" s="110">
        <f>IF(SeilBeregnet=0,EN116,SeilBeregnet^0.5/Depl^0.33333)</f>
        <v>3.0272168727362869</v>
      </c>
      <c r="EO117" s="110">
        <f>IF(SeilBeregnet=0,EO116,((Loa+Lwl)/Bredde/6)^EO$3)</f>
        <v>0.96841976857935907</v>
      </c>
      <c r="EP117" s="110">
        <f>IF(SeilBeregnet=0,EP116,(Lwl*0.7+Loa*0.3)^EP$3)</f>
        <v>1.8971835674396498</v>
      </c>
      <c r="EQ117" s="110">
        <f>IF(SeilBeregnet=0,"-",EQ$7*(ES:ES+EQ$6)*EV:EV*PropF+ErfaringsF+Dyp_F)</f>
        <v>0.88892206304703514</v>
      </c>
      <c r="ES117" s="110">
        <f>(ET:ET*EU:EU)^ES$3</f>
        <v>1.7122862471148312</v>
      </c>
      <c r="ET117" s="110">
        <f>IF(SeilBeregnet=0,ET116,SeilBeregnet^0.5/Depl^0.3333)</f>
        <v>3.0275344299916882</v>
      </c>
      <c r="EU117" s="110">
        <f>IF(SeilBeregnet=0,EU116,((Loa+Lwl)/Bredde/6)^EU$3)</f>
        <v>0.96841976857935907</v>
      </c>
      <c r="EV117" s="110">
        <f>IF(SeilBeregnet=0,EV116,(Lwl*0.7+Loa*0.3)^EV$3)</f>
        <v>1.8971835674396498</v>
      </c>
      <c r="EW117" s="110">
        <f>IF(SeilBeregnet=0,"-",EW$7*(EY:EY+EW$6)*FB:FB*PropF+ErfaringsF+Dyp_F)</f>
        <v>0.88285829807359228</v>
      </c>
      <c r="EX117" s="144" t="str">
        <f>IF($DQ117=0,"-",(EW117-$DO117)*100)</f>
        <v>-</v>
      </c>
      <c r="EY117" s="110">
        <f>(EZ:EZ*FA:FA)^EY$3</f>
        <v>2.8393333475656068</v>
      </c>
      <c r="EZ117" s="136">
        <f>IF(SeilBeregnet=0,EZ116,(SeilBeregnet^0.5/(Depl^0.3333))^EZ$3)</f>
        <v>3.0275344299916882</v>
      </c>
      <c r="FA117" s="136">
        <f>IF(SeilBeregnet=0,FA116,((Loa+Lwl)/Bredde/6)^FA$3)</f>
        <v>0.93783684817529944</v>
      </c>
      <c r="FB117" s="110">
        <f>IF(SeilBeregnet=0,FB116,(Lwl*0.07+Loa*0.03)^FB$3)</f>
        <v>1.0668647214433669</v>
      </c>
      <c r="FC117" s="110">
        <f>IF(SeilBeregnet=0,"-",FC$7*(FE:FE+FC$6)*FI:FI*PropF+ErfaringsF+Dyp_F)</f>
        <v>0.89900444837973392</v>
      </c>
      <c r="FD117" s="144" t="str">
        <f>IF($DQ117=0,"-",(FC117-$DO117)*100)</f>
        <v>-</v>
      </c>
      <c r="FE117" s="110">
        <f>(FF:FF+FG:FG+FH:FH)^FE$3+FE$7</f>
        <v>4.9903980343291208</v>
      </c>
      <c r="FF117" s="136">
        <f>IF(SeilBeregnet=0,FF116,(SeilBeregnet^0.5/(Depl^0.3333))^FF$3)</f>
        <v>3.0275344299916882</v>
      </c>
      <c r="FG117" s="136">
        <f>IF(SeilBeregnet=0,FG116,(SeilBeregnet^0.5/Lwl*FG$7)^FG$3)</f>
        <v>0.78304748993150675</v>
      </c>
      <c r="FH117" s="136">
        <f>IF(SeilBeregnet=0,FH116,((Loa)/Bredde)^FH$3*FH$7)</f>
        <v>1.6798161144059256</v>
      </c>
      <c r="FI117" s="110">
        <f>IF(SeilBeregnet=0,FI116,(Lwl)^FI$3)</f>
        <v>1.876529608701073</v>
      </c>
      <c r="FJ117" s="110">
        <f>IF(SeilBeregnet=0,"-",FJ$7*(FL:FL+FJ$6)*FO:FO*PropF+ErfaringsF+Dyp_F)</f>
        <v>0.8865785329454271</v>
      </c>
      <c r="FK117" s="144" t="str">
        <f>IF($DQ117=0,"-",(FJ117-$DO117)*100)</f>
        <v>-</v>
      </c>
      <c r="FL117" s="110">
        <f>(FM:FM*FN:FN)^FL$3</f>
        <v>5.0857011224187962</v>
      </c>
      <c r="FM117" s="136">
        <f>IF(SeilBeregnet=0,FM116,(SeilBeregnet^0.5/(Depl^0.3333))^FM$3)</f>
        <v>3.0275344299916882</v>
      </c>
      <c r="FN117" s="136">
        <f>IF(SeilBeregnet=0,FN116,(Loa/Bredde)^FN$3)</f>
        <v>1.6798161144059256</v>
      </c>
      <c r="FO117" s="110">
        <f>IF(SeilBeregnet=0,FO116,Lwl^FO$3)</f>
        <v>1.876529608701073</v>
      </c>
      <c r="FQ117">
        <v>0.95</v>
      </c>
      <c r="FR117" s="64">
        <f>IF(SeilBeregnet=0,"-",0.06*2.43^(1/2)*(SeilBeregnet^(1/2)/Depl^(1/3)+(Loa/Bredde)^(1/2)+5*(Dypg/Loa)^(1/2))*Lwl^(1/4)*FQ117)</f>
        <v>1.1233887954723067</v>
      </c>
      <c r="FS117" s="479"/>
      <c r="FT117" s="18"/>
      <c r="FU117" s="481"/>
      <c r="FV117" s="504"/>
      <c r="FW117" s="18"/>
      <c r="FX117" s="18"/>
      <c r="FY117" s="18"/>
      <c r="FZ117" s="18"/>
      <c r="GB117" s="18"/>
      <c r="GC117" s="481"/>
      <c r="GD117" s="8"/>
      <c r="GE117" s="8"/>
      <c r="GF117" s="8"/>
      <c r="GG117" s="8"/>
      <c r="GI117" s="18"/>
      <c r="GJ117" s="18"/>
      <c r="GK117" s="18"/>
      <c r="GL117" s="18"/>
      <c r="GM117" s="18"/>
      <c r="GN117" s="18"/>
      <c r="GO117" s="18"/>
      <c r="GP117" s="18"/>
    </row>
    <row r="118" spans="1:198" ht="15.6" x14ac:dyDescent="0.3">
      <c r="A118" s="62" t="s">
        <v>161</v>
      </c>
      <c r="B118" s="223"/>
      <c r="C118" s="63" t="str">
        <f t="shared" si="990"/>
        <v>Gaffel</v>
      </c>
      <c r="G118" s="56"/>
      <c r="H118" s="209" t="e">
        <f>TBFavrundet</f>
        <v>#VALUE!</v>
      </c>
      <c r="I118" s="65">
        <f>COUNTA(O118:AD118)</f>
        <v>0</v>
      </c>
      <c r="J118" s="228">
        <f>SUM(O118:AD118)</f>
        <v>0</v>
      </c>
      <c r="K118" s="119">
        <f>Seilareal/Depl^0.667/K$7</f>
        <v>0</v>
      </c>
      <c r="L118" s="119">
        <f>Seilareal/Lwl/Lwl/L$7</f>
        <v>0</v>
      </c>
      <c r="M118" s="95" t="e">
        <f>RiggF</f>
        <v>#DIV/0!</v>
      </c>
      <c r="N118" s="265" t="str">
        <f>StHfaktor</f>
        <v>-</v>
      </c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260">
        <f t="shared" si="984"/>
        <v>12.06</v>
      </c>
      <c r="AF118" s="375">
        <f t="shared" si="985"/>
        <v>0</v>
      </c>
      <c r="AG118" s="377"/>
      <c r="AH118" s="375">
        <f t="shared" si="985"/>
        <v>0</v>
      </c>
      <c r="AI118" s="377"/>
      <c r="AJ118" s="295" t="str">
        <f t="shared" si="986"/>
        <v>RS</v>
      </c>
      <c r="AK118" s="47">
        <f>VLOOKUP(AJ118,Skrogform!$1:$1048576,3,FALSE)</f>
        <v>0.97</v>
      </c>
      <c r="AL118" s="66">
        <f t="shared" ref="AL118:AT118" si="996">AL117</f>
        <v>14.25</v>
      </c>
      <c r="AM118" s="66">
        <f t="shared" si="996"/>
        <v>12.4</v>
      </c>
      <c r="AN118" s="66">
        <f t="shared" si="996"/>
        <v>5.05</v>
      </c>
      <c r="AO118" s="66">
        <f t="shared" si="996"/>
        <v>2.35</v>
      </c>
      <c r="AP118" s="66">
        <f t="shared" si="996"/>
        <v>33</v>
      </c>
      <c r="AQ118" s="66">
        <f t="shared" si="996"/>
        <v>5</v>
      </c>
      <c r="AR118" s="66">
        <f t="shared" si="996"/>
        <v>5</v>
      </c>
      <c r="AS118" s="284">
        <f t="shared" si="996"/>
        <v>0</v>
      </c>
      <c r="AT118" s="284">
        <f t="shared" si="996"/>
        <v>1300</v>
      </c>
      <c r="AU118" s="284">
        <f t="shared" ref="AU118:AV118" si="997">AU117</f>
        <v>300</v>
      </c>
      <c r="AV118" s="284">
        <f t="shared" si="997"/>
        <v>300</v>
      </c>
      <c r="AW118" s="284"/>
      <c r="AX118" s="284">
        <f>AX117</f>
        <v>100</v>
      </c>
      <c r="AY118" s="68"/>
      <c r="AZ118" s="68"/>
      <c r="BA118" s="289"/>
      <c r="BB118" s="68"/>
      <c r="BC118" s="179"/>
      <c r="BD118" s="68"/>
      <c r="BE118" s="68"/>
      <c r="BF118" s="67" t="str">
        <f t="shared" ref="BF118:BH118" si="998" xml:space="preserve"> BF117</f>
        <v>Seilrett</v>
      </c>
      <c r="BG118" s="295">
        <f t="shared" si="998"/>
        <v>3</v>
      </c>
      <c r="BH118" s="295">
        <f t="shared" si="998"/>
        <v>90</v>
      </c>
      <c r="BI118" s="47">
        <f>IF((BF118="Fast"),(1.006248-(0.06415*((BH118/100*SQRT(BG118))/POWER(AP118,(1/3))))),1)</f>
        <v>1</v>
      </c>
      <c r="BJ118" s="61"/>
      <c r="BK118" s="61"/>
      <c r="BM118" s="51">
        <f>IF(O118=0,0,O118*BM$9)</f>
        <v>0</v>
      </c>
      <c r="BN118" s="51">
        <f>IF(P118=0,0,P118*BN$9)</f>
        <v>0</v>
      </c>
      <c r="BO118" s="51">
        <f>IF(Q118=0,0,Q118*BO$9)</f>
        <v>0</v>
      </c>
      <c r="BP118" s="51">
        <f>IF(R118=0,0,R118*BP$9)</f>
        <v>0</v>
      </c>
      <c r="BQ118" s="51">
        <f>IF(S118=0,0,S118*BQ$9)</f>
        <v>0</v>
      </c>
      <c r="BR118" s="51">
        <f>IF(T118=0,0,T118*BR$9)</f>
        <v>0</v>
      </c>
      <c r="BS118" s="52">
        <f>IF(COUNT(P118:T118)&gt;1,MINA(P118:T118)*BS$9,0)</f>
        <v>0</v>
      </c>
      <c r="BT118" s="88">
        <f>IF(U118=0,0,U118*BT$9)</f>
        <v>0</v>
      </c>
      <c r="BU118" s="88">
        <f>IF(V118=0,0,V118*BU$9)</f>
        <v>0</v>
      </c>
      <c r="BV118" s="88">
        <f>IF(W118=0,0,W118*BV$9)</f>
        <v>0</v>
      </c>
      <c r="BW118" s="88">
        <f>IF(X118=0,0,X118*BW$9)</f>
        <v>0</v>
      </c>
      <c r="BX118" s="88">
        <f>IF(Y118=0,0,Y118*BX$9)</f>
        <v>0</v>
      </c>
      <c r="BY118" s="88">
        <f>IF(Z118=0,0,Z118*BY$9)</f>
        <v>0</v>
      </c>
      <c r="BZ118" s="88">
        <f>IF(AA118=0,0,AA118*BZ$9)</f>
        <v>0</v>
      </c>
      <c r="CA118" s="88">
        <f>IF(AB118=0,0,AB118*CA$9)</f>
        <v>0</v>
      </c>
      <c r="CB118" s="88">
        <f>IF(AC118=0,0,AC118*CB$9)</f>
        <v>0</v>
      </c>
      <c r="CC118" s="88">
        <f>IF(AD118=0,0,AD118*CC$9)</f>
        <v>0</v>
      </c>
      <c r="CD118" s="103">
        <f>SUM(BM118:CC118)</f>
        <v>0</v>
      </c>
      <c r="CE118" s="52"/>
      <c r="CF118" s="107">
        <f>J118</f>
        <v>0</v>
      </c>
      <c r="CG118" s="104" t="e">
        <f>CD118/CF118</f>
        <v>#DIV/0!</v>
      </c>
      <c r="CH118" s="53">
        <f>Seilareal/Lwl/Lwl</f>
        <v>0</v>
      </c>
      <c r="CI118" s="119">
        <f>Seilareal/Depl^0.667/K$7</f>
        <v>0</v>
      </c>
      <c r="CJ118" s="53">
        <f>Seilareal/Lwl/Lwl/SApRS1</f>
        <v>0</v>
      </c>
      <c r="CK118" s="209"/>
      <c r="CL118" s="209" t="e">
        <f>(ROUND(TBF/CL$6,3)*CL$6)*CL$4</f>
        <v>#VALUE!</v>
      </c>
      <c r="CM118" s="110" t="str">
        <f t="shared" si="234"/>
        <v>-</v>
      </c>
      <c r="CN118" s="64" t="str">
        <f>IF(SeilBeregnet=0,"-",(SeilBeregnet)^(1/2)*StHfaktor/(Depl+DeplTillegg/1000+Vann/1000+Diesel/1000*0.84)^(1/3))</f>
        <v>-</v>
      </c>
      <c r="CO118" s="64" t="str">
        <f t="shared" si="203"/>
        <v>-</v>
      </c>
      <c r="CP118" s="64" t="str">
        <f t="shared" si="204"/>
        <v>-</v>
      </c>
      <c r="CQ118" s="110" t="str">
        <f t="shared" si="205"/>
        <v>-</v>
      </c>
      <c r="CR118" s="172" t="str">
        <f>IF(CS118=0,"-",IF(CH118="TBF","-",CR$7*CS118))</f>
        <v>-</v>
      </c>
      <c r="CS118" s="162"/>
      <c r="CT118" s="172" t="str">
        <f>IF(CU118=0,"-",IF(CL118="TBF","-",CT$7*CU118))</f>
        <v>-</v>
      </c>
      <c r="CU118" s="164"/>
      <c r="CV118" s="195" t="s">
        <v>145</v>
      </c>
      <c r="CW118" s="64">
        <v>0.82</v>
      </c>
      <c r="CX118" s="64">
        <v>0.83</v>
      </c>
      <c r="CY118" s="64">
        <v>0.82</v>
      </c>
      <c r="CZ118" s="154">
        <v>0.86</v>
      </c>
      <c r="DA118" s="64" t="str">
        <f t="shared" si="210"/>
        <v>-</v>
      </c>
      <c r="DB118" s="49">
        <f t="shared" si="206"/>
        <v>12.737127371273713</v>
      </c>
      <c r="DC118" s="50">
        <f>DB$7*IF(DB118&lt;DB$5,-0.04,IF(DB118&lt;DB$5*1.1,-0.03,IF(DB118&lt;DB$5*1.2,-0.02,IF(DB118&lt;DB$5*1.3,-0.01,0))))</f>
        <v>0</v>
      </c>
      <c r="DE118" s="110" t="str">
        <f>IF(SeilBeregnet=0,"-",DE$7*(DG:DG+DE$6)*DL:DL*PropF+ErfaringsF+Dyp_F)</f>
        <v>-</v>
      </c>
      <c r="DF118" s="144" t="str">
        <f>IF($DQ118=0,"-",(DE118-$DO118)*100)</f>
        <v>-</v>
      </c>
      <c r="DG118" s="110">
        <f>SUM(DH118:DK118)^DG$3+DG$7</f>
        <v>4.707350544397614</v>
      </c>
      <c r="DH118" s="136">
        <f>IF(SeilBeregnet=0,DH117,(SeilBeregnet^0.5/(Depl^0.3333))^DH$3*DH$7)</f>
        <v>3.0275344299916882</v>
      </c>
      <c r="DI118" s="136">
        <f>IF(SeilBeregnet=0,DI117,(SeilBeregnet^0.5/Lwl)^DI$3*DI$7)</f>
        <v>0</v>
      </c>
      <c r="DJ118" s="136">
        <f>IF(SeilBeregnet=0,DJ117,(0.1*Loa/Depl^0.3333)^DJ$3*DJ$7)</f>
        <v>0</v>
      </c>
      <c r="DK118" s="136">
        <f>IF(SeilBeregnet=0,DK117,((Loa)/Bredde)^DK$3*DK$7)</f>
        <v>1.6798161144059256</v>
      </c>
      <c r="DL118" s="110">
        <f>IF(SeilBeregnet=0,DL117,(Lwl)^DL$3)</f>
        <v>1.876529608701073</v>
      </c>
      <c r="DM118" s="136">
        <f>IF(SeilBeregnet=0,DM117,(Dypg/Loa)^DM$3*5*DM$7)</f>
        <v>2.0304696544257586</v>
      </c>
      <c r="DO118" s="110" t="str">
        <f t="shared" si="980"/>
        <v>-</v>
      </c>
      <c r="DP118" s="110" t="str">
        <f t="shared" si="211"/>
        <v>-</v>
      </c>
      <c r="DR118" s="110" t="str">
        <f t="shared" si="212"/>
        <v>-</v>
      </c>
      <c r="DS118" s="125" t="str">
        <f>IF($DQ118=0,"-",DR118-$DO118)</f>
        <v>-</v>
      </c>
      <c r="DT118" s="110" t="str">
        <f>IF(SeilBeregnet=0,"-",DT$7*(DT$4*DV118*DW118*DX118*PropF+DT$6)+ErfaringsF+Dyp_F)</f>
        <v>-</v>
      </c>
      <c r="DU118" s="125" t="str">
        <f>IF($DQ118=0,"-",DT118-$DO118)</f>
        <v>-</v>
      </c>
      <c r="DV118" s="110">
        <f>IF(SeilBeregnet=0,DV117,SeilBeregnet^0.5/Depl^0.33333)</f>
        <v>3.0272168727362869</v>
      </c>
      <c r="DW118" s="110">
        <f>IF(SeilBeregnet=0,DW117,Lwl^0.3333)</f>
        <v>2.3143948149199915</v>
      </c>
      <c r="DX118" s="110">
        <f>IF(SeilBeregnet=0,DX117,((Loa+Lwl)/Bredde)^DX$3)</f>
        <v>1.5156588468416963</v>
      </c>
      <c r="DZ118" s="110" t="str">
        <f>IF(SeilBeregnet=0,"-",DZ$7*(DZ$4*EB118*EC118*ED118*PropF+DZ$6)+ErfaringsF+Dyp_F)</f>
        <v>-</v>
      </c>
      <c r="EB118" s="110">
        <f>IF(SeilBeregnet=0,EB117,SeilBeregnet^0.5/Depl^0.33333)</f>
        <v>3.0272168727362869</v>
      </c>
      <c r="EC118" s="110">
        <f>IF(SeilBeregnet=0,EC117,Lwl^EC$3)</f>
        <v>2.3145696298317247</v>
      </c>
      <c r="ED118" s="110">
        <f>IF(SeilBeregnet=0,ED117,((Loa+Lwl)/Bredde)^ED$3)</f>
        <v>1.7409161931067094</v>
      </c>
      <c r="EE118" s="110" t="str">
        <f>IF(SeilBeregnet=0,"-",EE$7*(EE$4*EG118+EE$6)*EJ118*PropF+ErfaringsF+Dyp_F)</f>
        <v>-</v>
      </c>
      <c r="EG118" s="110">
        <f>IF(SeilBeregnet=0,EG117,(EH118*EI118)^EG$3)</f>
        <v>4.5882280344712063</v>
      </c>
      <c r="EH118" s="110">
        <f>IF(SeilBeregnet=0,EH117,SeilBeregnet^0.5/Depl^0.33333)</f>
        <v>3.0272168727362869</v>
      </c>
      <c r="EI118" s="110">
        <f>IF(SeilBeregnet=0,EI117,((Loa+Lwl)/Bredde)^EI$3)</f>
        <v>1.5156588468416963</v>
      </c>
      <c r="EJ118" s="110">
        <f>IF(SeilBeregnet=0,EJ117,Lwl^EJ$3)</f>
        <v>1.876529608701073</v>
      </c>
      <c r="EK118" s="110" t="str">
        <f>IF(SeilBeregnet=0,"-",EK$7*(EK$4*EM:EM+EK$6)*EP:EP*PropF+ErfaringsF+Dyp_F)</f>
        <v>-</v>
      </c>
      <c r="EM118" s="110">
        <f>IF(SeilBeregnet=0,EM117,(EN:EN*EO:EO)^EM$3)</f>
        <v>1.7121964441426709</v>
      </c>
      <c r="EN118" s="110">
        <f>IF(SeilBeregnet=0,EN117,SeilBeregnet^0.5/Depl^0.33333)</f>
        <v>3.0272168727362869</v>
      </c>
      <c r="EO118" s="110">
        <f>IF(SeilBeregnet=0,EO117,((Loa+Lwl)/Bredde/6)^EO$3)</f>
        <v>0.96841976857935907</v>
      </c>
      <c r="EP118" s="110">
        <f>IF(SeilBeregnet=0,EP117,(Lwl*0.7+Loa*0.3)^EP$3)</f>
        <v>1.8971835674396498</v>
      </c>
      <c r="EQ118" s="110" t="str">
        <f>IF(SeilBeregnet=0,"-",EQ$7*(ES:ES+EQ$6)*EV:EV*PropF+ErfaringsF+Dyp_F)</f>
        <v>-</v>
      </c>
      <c r="ES118" s="110">
        <f>(ET:ET*EU:EU)^ES$3</f>
        <v>1.7122862471148312</v>
      </c>
      <c r="ET118" s="110">
        <f>IF(SeilBeregnet=0,ET117,SeilBeregnet^0.5/Depl^0.3333)</f>
        <v>3.0275344299916882</v>
      </c>
      <c r="EU118" s="110">
        <f>IF(SeilBeregnet=0,EU117,((Loa+Lwl)/Bredde/6)^EU$3)</f>
        <v>0.96841976857935907</v>
      </c>
      <c r="EV118" s="110">
        <f>IF(SeilBeregnet=0,EV117,(Lwl*0.7+Loa*0.3)^EV$3)</f>
        <v>1.8971835674396498</v>
      </c>
      <c r="EW118" s="110" t="str">
        <f>IF(SeilBeregnet=0,"-",EW$7*(EY:EY+EW$6)*FB:FB*PropF+ErfaringsF+Dyp_F)</f>
        <v>-</v>
      </c>
      <c r="EX118" s="144" t="str">
        <f>IF($DQ118=0,"-",(EW118-$DO118)*100)</f>
        <v>-</v>
      </c>
      <c r="EY118" s="110">
        <f>(EZ:EZ*FA:FA)^EY$3</f>
        <v>2.8393333475656068</v>
      </c>
      <c r="EZ118" s="136">
        <f>IF(SeilBeregnet=0,EZ117,(SeilBeregnet^0.5/(Depl^0.3333))^EZ$3)</f>
        <v>3.0275344299916882</v>
      </c>
      <c r="FA118" s="136">
        <f>IF(SeilBeregnet=0,FA117,((Loa+Lwl)/Bredde/6)^FA$3)</f>
        <v>0.93783684817529944</v>
      </c>
      <c r="FB118" s="110">
        <f>IF(SeilBeregnet=0,FB117,(Lwl*0.07+Loa*0.03)^FB$3)</f>
        <v>1.0668647214433669</v>
      </c>
      <c r="FC118" s="110" t="str">
        <f>IF(SeilBeregnet=0,"-",FC$7*(FE:FE+FC$6)*FI:FI*PropF+ErfaringsF+Dyp_F)</f>
        <v>-</v>
      </c>
      <c r="FD118" s="144" t="str">
        <f>IF($DQ118=0,"-",(FC118-$DO118)*100)</f>
        <v>-</v>
      </c>
      <c r="FE118" s="110">
        <f>(FF:FF+FG:FG+FH:FH)^FE$3+FE$7</f>
        <v>4.9903980343291208</v>
      </c>
      <c r="FF118" s="136">
        <f>IF(SeilBeregnet=0,FF117,(SeilBeregnet^0.5/(Depl^0.3333))^FF$3)</f>
        <v>3.0275344299916882</v>
      </c>
      <c r="FG118" s="136">
        <f>IF(SeilBeregnet=0,FG117,(SeilBeregnet^0.5/Lwl*FG$7)^FG$3)</f>
        <v>0.78304748993150675</v>
      </c>
      <c r="FH118" s="136">
        <f>IF(SeilBeregnet=0,FH117,((Loa)/Bredde)^FH$3*FH$7)</f>
        <v>1.6798161144059256</v>
      </c>
      <c r="FI118" s="110">
        <f>IF(SeilBeregnet=0,FI117,(Lwl)^FI$3)</f>
        <v>1.876529608701073</v>
      </c>
      <c r="FJ118" s="110" t="str">
        <f>IF(SeilBeregnet=0,"-",FJ$7*(FL:FL+FJ$6)*FO:FO*PropF+ErfaringsF+Dyp_F)</f>
        <v>-</v>
      </c>
      <c r="FK118" s="144" t="str">
        <f>IF($DQ118=0,"-",(FJ118-$DO118)*100)</f>
        <v>-</v>
      </c>
      <c r="FL118" s="110">
        <f>(FM:FM*FN:FN)^FL$3</f>
        <v>5.0857011224187962</v>
      </c>
      <c r="FM118" s="136">
        <f>IF(SeilBeregnet=0,FM117,(SeilBeregnet^0.5/(Depl^0.3333))^FM$3)</f>
        <v>3.0275344299916882</v>
      </c>
      <c r="FN118" s="136">
        <f>IF(SeilBeregnet=0,FN117,(Loa/Bredde)^FN$3)</f>
        <v>1.6798161144059256</v>
      </c>
      <c r="FO118" s="110">
        <f>IF(SeilBeregnet=0,FO117,Lwl^FO$3)</f>
        <v>1.876529608701073</v>
      </c>
      <c r="FQ118">
        <v>0.95</v>
      </c>
      <c r="FR118" s="64" t="str">
        <f>IF(SeilBeregnet=0,"-",0.06*2.43^(1/2)*(SeilBeregnet^(1/2)/Depl^(1/3)+(Loa/Bredde)^(1/2)+5*(Dypg/Loa)^(1/2))*Lwl^(1/4)*FQ118)</f>
        <v>-</v>
      </c>
      <c r="FS118" s="479"/>
      <c r="FT118" s="18"/>
      <c r="FU118" s="481"/>
      <c r="FV118" s="504"/>
      <c r="FW118" s="18"/>
      <c r="FX118" s="18"/>
      <c r="FY118" s="18"/>
      <c r="FZ118" s="18"/>
      <c r="GB118" s="18"/>
      <c r="GC118" s="481"/>
      <c r="GD118" s="8"/>
      <c r="GE118" s="8"/>
      <c r="GF118" s="8"/>
      <c r="GG118" s="8"/>
      <c r="GI118" s="18"/>
      <c r="GJ118" s="18"/>
      <c r="GK118" s="18"/>
      <c r="GL118" s="18"/>
      <c r="GM118" s="18"/>
      <c r="GN118" s="18"/>
      <c r="GO118" s="18"/>
      <c r="GP118" s="18"/>
    </row>
    <row r="119" spans="1:198" ht="15.6" x14ac:dyDescent="0.3">
      <c r="A119" s="54" t="s">
        <v>225</v>
      </c>
      <c r="B119" s="223">
        <f t="shared" si="199"/>
        <v>40.682414698162731</v>
      </c>
      <c r="C119" s="55" t="s">
        <v>22</v>
      </c>
      <c r="D119" s="55"/>
      <c r="E119" s="55"/>
      <c r="F119" s="55"/>
      <c r="G119" s="56"/>
      <c r="H119" s="209"/>
      <c r="I119" s="126" t="str">
        <f>A119</f>
        <v>Los Flekkerøy</v>
      </c>
      <c r="J119" s="229"/>
      <c r="K119" s="119"/>
      <c r="L119" s="119"/>
      <c r="M119" s="95"/>
      <c r="N119" s="265"/>
      <c r="O119" s="169"/>
      <c r="P119" s="169"/>
      <c r="Q119" s="169">
        <v>29</v>
      </c>
      <c r="R119" s="169">
        <v>15</v>
      </c>
      <c r="S119" s="169"/>
      <c r="T119" s="169">
        <v>21.3</v>
      </c>
      <c r="U119" s="169">
        <v>63.2</v>
      </c>
      <c r="V119" s="181">
        <f>StorS-StorS/6</f>
        <v>52.666666666666671</v>
      </c>
      <c r="W119" s="169"/>
      <c r="X119" s="169"/>
      <c r="Y119" s="169">
        <v>11.1</v>
      </c>
      <c r="Z119" s="169"/>
      <c r="AA119" s="169"/>
      <c r="AB119" s="169"/>
      <c r="AC119" s="169"/>
      <c r="AD119" s="169"/>
      <c r="AE119" s="270">
        <v>11.57</v>
      </c>
      <c r="AF119" s="296"/>
      <c r="AG119" s="377"/>
      <c r="AH119" s="296"/>
      <c r="AI119" s="377"/>
      <c r="AJ119" s="296" t="s">
        <v>229</v>
      </c>
      <c r="AK119" s="47">
        <f>VLOOKUP(AJ119,Skrogform!$1:$1048576,3,FALSE)</f>
        <v>0.97</v>
      </c>
      <c r="AL119" s="57">
        <v>12.4</v>
      </c>
      <c r="AM119" s="57">
        <v>11.66</v>
      </c>
      <c r="AN119" s="57">
        <v>4.63</v>
      </c>
      <c r="AO119" s="57">
        <v>1.8</v>
      </c>
      <c r="AP119" s="57">
        <v>22.2</v>
      </c>
      <c r="AQ119" s="57"/>
      <c r="AR119" s="57">
        <v>4</v>
      </c>
      <c r="AS119" s="281">
        <v>113</v>
      </c>
      <c r="AT119" s="281">
        <v>680</v>
      </c>
      <c r="AU119" s="281">
        <f>ROUND(Depl*10,-2)</f>
        <v>200</v>
      </c>
      <c r="AV119" s="281">
        <f>ROUND(Depl*10,-2)</f>
        <v>200</v>
      </c>
      <c r="AW119" s="270">
        <f>Depl+Diesel/1000+Vann/1000</f>
        <v>22.599999999999998</v>
      </c>
      <c r="AX119" s="281"/>
      <c r="AY119" s="98">
        <f>Bredde/(Loa+Lwl)*2</f>
        <v>0.3848711554447215</v>
      </c>
      <c r="AZ119" s="98">
        <f>(Kjøl+Ballast)/Depl</f>
        <v>0.1801801801801802</v>
      </c>
      <c r="BA119" s="288">
        <f>BA$7*((Depl-Kjøl-Ballast-VektMotor/1000-VektAnnet/1000)/Loa/Lwl/Bredde)</f>
        <v>1.1323977256389173</v>
      </c>
      <c r="BB119" s="98">
        <f>BB$7*(Depl/Loa/Lwl/Lwl)</f>
        <v>0.98883162546283887</v>
      </c>
      <c r="BC119" s="178">
        <f>BC$7*(Depl/Loa/Lwl/Bredde)</f>
        <v>0.92047546932409541</v>
      </c>
      <c r="BD119" s="98">
        <f>BD$7*Bredde/(Loa+Lwl)*2</f>
        <v>1.097917392897684</v>
      </c>
      <c r="BE119" s="98">
        <f>BE$7*(Dypg/Lwl)</f>
        <v>0.84435826683570736</v>
      </c>
      <c r="BF119" s="58"/>
      <c r="BG119" s="296"/>
      <c r="BH119" s="296"/>
      <c r="BI119" s="47">
        <f t="shared" si="853"/>
        <v>1</v>
      </c>
      <c r="BJ119" s="61"/>
      <c r="BK119" s="61"/>
      <c r="BM119" s="214"/>
      <c r="BN119" s="214" t="str">
        <f>$A119</f>
        <v>Los Flekkerøy</v>
      </c>
      <c r="BO119" s="10"/>
      <c r="BP119" s="10"/>
      <c r="BQ119" s="10"/>
      <c r="BR119" s="10"/>
      <c r="BS119" s="52"/>
      <c r="BT119" s="214" t="str">
        <f>$A119</f>
        <v>Los Flekkerøy</v>
      </c>
      <c r="BU119" s="10"/>
      <c r="BV119" s="10"/>
      <c r="BW119" s="10"/>
      <c r="BX119" s="10"/>
      <c r="BY119" s="10"/>
      <c r="BZ119" s="10"/>
      <c r="CA119" s="10"/>
      <c r="CB119" s="10"/>
      <c r="CC119" s="10"/>
      <c r="CD119" s="214"/>
      <c r="CE119" s="10"/>
      <c r="CF119" s="214" t="str">
        <f>$A119</f>
        <v>Los Flekkerøy</v>
      </c>
      <c r="CG119" s="212"/>
      <c r="CH119" s="212"/>
      <c r="CI119" s="119"/>
      <c r="CJ119" s="212"/>
      <c r="CK119" s="208"/>
      <c r="CL119" s="208" t="s">
        <v>26</v>
      </c>
      <c r="CM119" s="110" t="str">
        <f t="shared" si="690"/>
        <v>-</v>
      </c>
      <c r="CN119" s="64" t="str">
        <f>IF(SeilBeregnet=0,"-",(SeilBeregnet)^(1/2)*StHfaktor/(Depl+DeplTillegg/1000+Vann/1000+Diesel/1000*0.84)^(1/3))</f>
        <v>-</v>
      </c>
      <c r="CO119" s="64" t="str">
        <f t="shared" si="659"/>
        <v>-</v>
      </c>
      <c r="CP119" s="64" t="str">
        <f t="shared" si="660"/>
        <v>-</v>
      </c>
      <c r="CQ119" s="110" t="str">
        <f t="shared" si="661"/>
        <v>-</v>
      </c>
      <c r="CR119" s="172">
        <f t="shared" si="965"/>
        <v>0.93176470588235305</v>
      </c>
      <c r="CS119" s="162">
        <v>0.9</v>
      </c>
      <c r="CT119" s="172" t="str">
        <f t="shared" si="966"/>
        <v>-</v>
      </c>
      <c r="CU119" s="164">
        <v>1.22</v>
      </c>
      <c r="CV119" s="195" t="s">
        <v>145</v>
      </c>
      <c r="CW119" s="30" t="s">
        <v>26</v>
      </c>
      <c r="CX119" s="30" t="s">
        <v>26</v>
      </c>
      <c r="CY119" s="30" t="s">
        <v>26</v>
      </c>
      <c r="CZ119" s="153">
        <v>2022</v>
      </c>
      <c r="DA119" s="64" t="str">
        <f t="shared" si="854"/>
        <v>-</v>
      </c>
      <c r="DB119" s="49">
        <f t="shared" si="855"/>
        <v>10.410641989589358</v>
      </c>
      <c r="DC119" s="50">
        <f t="shared" si="856"/>
        <v>0</v>
      </c>
      <c r="DE119" s="110" t="str">
        <f>IF(SeilBeregnet=0,"-",DE$7*(DG:DG+DE$6)*DL:DL*PropF+ErfaringsF+Dyp_F)</f>
        <v>-</v>
      </c>
      <c r="DF119" s="144" t="str">
        <f t="shared" si="248"/>
        <v>-</v>
      </c>
      <c r="DG119" s="110">
        <f t="shared" si="858"/>
        <v>4.5839649782155556</v>
      </c>
      <c r="DH119" s="136">
        <f>IF(SeilBeregnet=0,DH22,(SeilBeregnet^0.5/(Depl^0.3333))^DH$3*DH$7)</f>
        <v>2.8373282221278164</v>
      </c>
      <c r="DI119" s="136">
        <f>IF(SeilBeregnet=0,DI22,(SeilBeregnet^0.5/Lwl)^DI$3*DI$7)</f>
        <v>0</v>
      </c>
      <c r="DJ119" s="136">
        <f>IF(SeilBeregnet=0,DJ22,(0.1*Loa/Depl^0.3333)^DJ$3*DJ$7)</f>
        <v>0</v>
      </c>
      <c r="DK119" s="136">
        <f>IF(SeilBeregnet=0,DK22,((Loa)/Bredde)^DK$3*DK$7)</f>
        <v>1.7466367560877394</v>
      </c>
      <c r="DL119" s="110">
        <f>IF(SeilBeregnet=0,DL22,(Lwl)^DL$3)</f>
        <v>1.8859172433475835</v>
      </c>
      <c r="DM119" s="136">
        <f>IF(SeilBeregnet=0,DM22,(Dypg/Loa)^DM$3*5*DM$7)</f>
        <v>2.0811665794102909</v>
      </c>
      <c r="DO119" s="110" t="str">
        <f t="shared" si="258"/>
        <v>-</v>
      </c>
      <c r="DP119" s="110" t="str">
        <f t="shared" si="859"/>
        <v>-</v>
      </c>
      <c r="DR119" s="110" t="str">
        <f t="shared" si="860"/>
        <v>-</v>
      </c>
      <c r="DS119" s="125" t="str">
        <f t="shared" si="249"/>
        <v>-</v>
      </c>
      <c r="DT119" s="110" t="str">
        <f t="shared" si="862"/>
        <v>-</v>
      </c>
      <c r="DU119" s="125" t="str">
        <f t="shared" si="250"/>
        <v>-</v>
      </c>
      <c r="DV119" s="110">
        <f>IF(SeilBeregnet=0,DV22,SeilBeregnet^0.5/Depl^0.33333)</f>
        <v>2.8370293356620873</v>
      </c>
      <c r="DW119" s="110">
        <f>IF(SeilBeregnet=0,DW22,Lwl^0.3333)</f>
        <v>2.3298436208665341</v>
      </c>
      <c r="DX119" s="110">
        <f>IF(SeilBeregnet=0,DX22,((Loa+Lwl)/Bredde)^DX$3)</f>
        <v>1.5468452919478386</v>
      </c>
      <c r="DZ119" s="110" t="str">
        <f t="shared" si="864"/>
        <v>-</v>
      </c>
      <c r="EB119" s="110">
        <f>IF(SeilBeregnet=0,EB22,SeilBeregnet^0.5/Depl^0.33333)</f>
        <v>2.8370293356620873</v>
      </c>
      <c r="EC119" s="110">
        <f>IF(SeilBeregnet=0,EC22,Lwl^EC$3)</f>
        <v>2.3300209979525235</v>
      </c>
      <c r="ED119" s="110">
        <f>IF(SeilBeregnet=0,ED22,((Loa+Lwl)/Bredde)^ED$3)</f>
        <v>1.7888362215273397</v>
      </c>
      <c r="EE119" s="110" t="str">
        <f t="shared" si="865"/>
        <v>-</v>
      </c>
      <c r="EG119" s="110">
        <f>IF(SeilBeregnet=0,EG22,(EH119*EI119)^EG$3)</f>
        <v>4.3884454709868042</v>
      </c>
      <c r="EH119" s="110">
        <f>IF(SeilBeregnet=0,EH22,SeilBeregnet^0.5/Depl^0.33333)</f>
        <v>2.8370293356620873</v>
      </c>
      <c r="EI119" s="110">
        <f>IF(SeilBeregnet=0,EI22,((Loa+Lwl)/Bredde)^EI$3)</f>
        <v>1.5468452919478386</v>
      </c>
      <c r="EJ119" s="110">
        <f>IF(SeilBeregnet=0,EJ22,Lwl^EJ$3)</f>
        <v>1.8859172433475835</v>
      </c>
      <c r="EK119" s="110" t="str">
        <f>IF(SeilBeregnet=0,"-",EK$7*(EK$4*EM:EM+EK$6)*EP:EP*PropF+ErfaringsF+Dyp_F)</f>
        <v>-</v>
      </c>
      <c r="EM119" s="110">
        <f>IF(SeilBeregnet=0,EM22,(EN:EN*EO:EO)^EM$3)</f>
        <v>1.6745049931391081</v>
      </c>
      <c r="EN119" s="110">
        <f>IF(SeilBeregnet=0,EN22,SeilBeregnet^0.5/Depl^0.33333)</f>
        <v>2.8370293356620873</v>
      </c>
      <c r="EO119" s="110">
        <f>IF(SeilBeregnet=0,EO22,((Loa+Lwl)/Bredde/6)^EO$3)</f>
        <v>0.98834613262588367</v>
      </c>
      <c r="EP119" s="110">
        <f>IF(SeilBeregnet=0,EP22,(Lwl*0.7+Loa*0.3)^EP$3)</f>
        <v>1.9055124848006821</v>
      </c>
      <c r="EQ119" s="110" t="str">
        <f>IF(SeilBeregnet=0,"-",EQ$7*(ES:ES+EQ$6)*EV:EV*PropF+ErfaringsF+Dyp_F)</f>
        <v>-</v>
      </c>
      <c r="ES119" s="110">
        <f>(ET:ET*EU:EU)^ES$3</f>
        <v>1.6745931969676402</v>
      </c>
      <c r="ET119" s="110">
        <f>IF(SeilBeregnet=0,ET22,SeilBeregnet^0.5/Depl^0.3333)</f>
        <v>2.8373282221278164</v>
      </c>
      <c r="EU119" s="110">
        <f>IF(SeilBeregnet=0,EU22,((Loa+Lwl)/Bredde/6)^EU$3)</f>
        <v>0.98834613262588367</v>
      </c>
      <c r="EV119" s="110">
        <f>IF(SeilBeregnet=0,EV22,(Lwl*0.7+Loa*0.3)^EV$3)</f>
        <v>1.9055124848006821</v>
      </c>
      <c r="EW119" s="110" t="str">
        <f>IF(SeilBeregnet=0,"-",EW$7*(EY:EY+EW$6)*FB:FB*PropF+ErfaringsF+Dyp_F)</f>
        <v>-</v>
      </c>
      <c r="EX119" s="144" t="str">
        <f t="shared" si="237"/>
        <v>-</v>
      </c>
      <c r="EY119" s="110">
        <f>(EZ:EZ*FA:FA)^EY$3</f>
        <v>2.7715818735259776</v>
      </c>
      <c r="EZ119" s="136">
        <f>IF(SeilBeregnet=0,EZ22,(SeilBeregnet^0.5/(Depl^0.3333))^EZ$3)</f>
        <v>2.8373282221278164</v>
      </c>
      <c r="FA119" s="136">
        <f>IF(SeilBeregnet=0,FA22,((Loa+Lwl)/Bredde/6)^FA$3)</f>
        <v>0.9768280778765408</v>
      </c>
      <c r="FB119" s="110">
        <f>IF(SeilBeregnet=0,FB22,(Lwl*0.07+Loa*0.03)^FB$3)</f>
        <v>1.0715484158695705</v>
      </c>
      <c r="FC119" s="110" t="str">
        <f>IF(SeilBeregnet=0,"-",FC$7*(FE:FE+FC$6)*FI:FI*PropF+ErfaringsF+Dyp_F)</f>
        <v>-</v>
      </c>
      <c r="FD119" s="144" t="str">
        <f t="shared" si="238"/>
        <v>-</v>
      </c>
      <c r="FE119" s="110">
        <f>(FF:FF+FG:FG+FH:FH)^FE$3+FE$7</f>
        <v>4.8069286692937334</v>
      </c>
      <c r="FF119" s="136">
        <f>IF(SeilBeregnet=0,FF22,(SeilBeregnet^0.5/(Depl^0.3333))^FF$3)</f>
        <v>2.8373282221278164</v>
      </c>
      <c r="FG119" s="136">
        <f>IF(SeilBeregnet=0,FG22,(SeilBeregnet^0.5/Lwl*FG$7)^FG$3)</f>
        <v>0.72296369107817726</v>
      </c>
      <c r="FH119" s="136">
        <f>IF(SeilBeregnet=0,FH22,((Loa)/Bredde)^FH$3*FH$7)</f>
        <v>1.7466367560877394</v>
      </c>
      <c r="FI119" s="110">
        <f>IF(SeilBeregnet=0,FI22,(Lwl)^FI$3)</f>
        <v>1.8859172433475835</v>
      </c>
      <c r="FJ119" s="110" t="str">
        <f>IF(SeilBeregnet=0,"-",FJ$7*(FL:FL+FJ$6)*FO:FO*PropF+ErfaringsF+Dyp_F)</f>
        <v>-</v>
      </c>
      <c r="FK119" s="144" t="str">
        <f t="shared" si="239"/>
        <v>-</v>
      </c>
      <c r="FL119" s="110">
        <f>(FM:FM*FN:FN)^FL$3</f>
        <v>4.9557817618535225</v>
      </c>
      <c r="FM119" s="136">
        <f>IF(SeilBeregnet=0,FM22,(SeilBeregnet^0.5/(Depl^0.3333))^FM$3)</f>
        <v>2.8373282221278164</v>
      </c>
      <c r="FN119" s="136">
        <f>IF(SeilBeregnet=0,FN22,(Loa/Bredde)^FN$3)</f>
        <v>1.7466367560877394</v>
      </c>
      <c r="FO119" s="110">
        <f>IF(SeilBeregnet=0,FO22,Lwl^FO$3)</f>
        <v>1.8859172433475835</v>
      </c>
      <c r="FQ119">
        <v>0.95</v>
      </c>
      <c r="FR119" s="64" t="str">
        <f t="shared" si="970"/>
        <v>-</v>
      </c>
      <c r="FS119" s="480"/>
      <c r="FT119" s="59"/>
      <c r="FU119" s="475"/>
      <c r="FV119" s="77"/>
      <c r="FW119" s="59"/>
      <c r="FX119" s="59"/>
      <c r="FY119" s="59"/>
      <c r="FZ119" s="59"/>
      <c r="GB119" s="59" t="s">
        <v>522</v>
      </c>
      <c r="GC119" s="475" t="s">
        <v>522</v>
      </c>
      <c r="GD119" s="60" t="s">
        <v>522</v>
      </c>
      <c r="GE119" s="60" t="s">
        <v>522</v>
      </c>
      <c r="GF119" s="60" t="s">
        <v>522</v>
      </c>
      <c r="GG119" s="60" t="s">
        <v>522</v>
      </c>
      <c r="GI119" s="59"/>
      <c r="GJ119" s="59"/>
      <c r="GK119" s="59"/>
      <c r="GL119" s="59"/>
      <c r="GM119" s="59"/>
      <c r="GN119" s="59"/>
      <c r="GO119" s="59"/>
      <c r="GP119" s="59"/>
    </row>
    <row r="120" spans="1:198" ht="15.6" x14ac:dyDescent="0.3">
      <c r="A120" s="62" t="s">
        <v>31</v>
      </c>
      <c r="B120" s="223"/>
      <c r="C120" s="63" t="str">
        <f>C119</f>
        <v>Gaffel</v>
      </c>
      <c r="D120" s="63"/>
      <c r="E120" s="63"/>
      <c r="F120" s="63"/>
      <c r="G120" s="56"/>
      <c r="H120" s="209">
        <f>TBFavrundet</f>
        <v>98</v>
      </c>
      <c r="I120" s="65">
        <f>COUNTA(O120:AD120)</f>
        <v>4</v>
      </c>
      <c r="J120" s="228">
        <f>SUM(O120:AD120)</f>
        <v>124.6</v>
      </c>
      <c r="K120" s="119">
        <f>Seilareal/Depl^0.667/K$7</f>
        <v>1.4408008941220101</v>
      </c>
      <c r="L120" s="119">
        <f>Seilareal/Lwl/Lwl/L$7</f>
        <v>1.3905862002598912</v>
      </c>
      <c r="M120" s="95">
        <f>RiggF</f>
        <v>0.80272873194221506</v>
      </c>
      <c r="N120" s="265">
        <f>StHfaktor</f>
        <v>0.99903188895757034</v>
      </c>
      <c r="O120" s="147"/>
      <c r="P120" s="147"/>
      <c r="Q120" s="169">
        <v>29</v>
      </c>
      <c r="R120" s="147"/>
      <c r="S120" s="147"/>
      <c r="T120" s="169">
        <v>21.3</v>
      </c>
      <c r="U120" s="169">
        <v>63.2</v>
      </c>
      <c r="V120" s="147"/>
      <c r="W120" s="147"/>
      <c r="X120" s="147"/>
      <c r="Y120" s="169">
        <v>11.1</v>
      </c>
      <c r="Z120" s="147"/>
      <c r="AA120" s="147"/>
      <c r="AB120" s="147"/>
      <c r="AC120" s="147"/>
      <c r="AD120" s="147"/>
      <c r="AE120" s="260">
        <f t="shared" ref="AE120" si="999">AE119</f>
        <v>11.57</v>
      </c>
      <c r="AF120" s="375">
        <f t="shared" ref="AF120:AH122" si="1000" xml:space="preserve"> AF119</f>
        <v>0</v>
      </c>
      <c r="AG120" s="377"/>
      <c r="AH120" s="375">
        <f t="shared" si="1000"/>
        <v>0</v>
      </c>
      <c r="AI120" s="377"/>
      <c r="AJ120" s="295" t="str">
        <f t="shared" ref="AJ120" si="1001" xml:space="preserve"> AJ119</f>
        <v>Los</v>
      </c>
      <c r="AK120" s="47">
        <f>VLOOKUP(AJ120,Skrogform!$1:$1048576,3,FALSE)</f>
        <v>0.97</v>
      </c>
      <c r="AL120" s="66">
        <f t="shared" ref="AL120:AT120" si="1002">AL119</f>
        <v>12.4</v>
      </c>
      <c r="AM120" s="66">
        <f t="shared" si="1002"/>
        <v>11.66</v>
      </c>
      <c r="AN120" s="66">
        <f t="shared" si="1002"/>
        <v>4.63</v>
      </c>
      <c r="AO120" s="66">
        <f t="shared" si="1002"/>
        <v>1.8</v>
      </c>
      <c r="AP120" s="66">
        <f t="shared" si="1002"/>
        <v>22.2</v>
      </c>
      <c r="AQ120" s="66">
        <f t="shared" si="1002"/>
        <v>0</v>
      </c>
      <c r="AR120" s="66">
        <f t="shared" si="1002"/>
        <v>4</v>
      </c>
      <c r="AS120" s="284">
        <f t="shared" si="1002"/>
        <v>113</v>
      </c>
      <c r="AT120" s="284">
        <f t="shared" si="1002"/>
        <v>680</v>
      </c>
      <c r="AU120" s="284">
        <f t="shared" ref="AU120:AV120" si="1003">AU119</f>
        <v>200</v>
      </c>
      <c r="AV120" s="284">
        <f t="shared" si="1003"/>
        <v>200</v>
      </c>
      <c r="AW120" s="284"/>
      <c r="AX120" s="284">
        <f>AX119</f>
        <v>0</v>
      </c>
      <c r="AY120" s="68"/>
      <c r="AZ120" s="68"/>
      <c r="BA120" s="289"/>
      <c r="BB120" s="68"/>
      <c r="BC120" s="179"/>
      <c r="BD120" s="68"/>
      <c r="BE120" s="68"/>
      <c r="BF120" s="67">
        <f t="shared" ref="BF120:BH120" si="1004" xml:space="preserve"> BF119</f>
        <v>0</v>
      </c>
      <c r="BG120" s="295">
        <f t="shared" si="1004"/>
        <v>0</v>
      </c>
      <c r="BH120" s="295">
        <f t="shared" si="1004"/>
        <v>0</v>
      </c>
      <c r="BI120" s="47">
        <f t="shared" si="853"/>
        <v>1</v>
      </c>
      <c r="BJ120" s="61"/>
      <c r="BK120" s="61"/>
      <c r="BM120" s="51">
        <f t="shared" ref="BM120:BR122" si="1005">IF(O120=0,0,O120*BM$9)</f>
        <v>0</v>
      </c>
      <c r="BN120" s="51">
        <f t="shared" si="1005"/>
        <v>0</v>
      </c>
      <c r="BO120" s="51">
        <f t="shared" si="1005"/>
        <v>29</v>
      </c>
      <c r="BP120" s="51">
        <f t="shared" si="1005"/>
        <v>0</v>
      </c>
      <c r="BQ120" s="51">
        <f t="shared" si="1005"/>
        <v>0</v>
      </c>
      <c r="BR120" s="51">
        <f t="shared" si="1005"/>
        <v>21.3</v>
      </c>
      <c r="BS120" s="52">
        <f>IF(COUNT(P120:T120)&gt;1,MINA(P120:T120)*BS$9,0)</f>
        <v>-6.39</v>
      </c>
      <c r="BT120" s="88">
        <f t="shared" ref="BT120:CC122" si="1006">IF(U120=0,0,U120*BT$9)</f>
        <v>50.56</v>
      </c>
      <c r="BU120" s="88">
        <f t="shared" si="1006"/>
        <v>0</v>
      </c>
      <c r="BV120" s="88">
        <f t="shared" si="1006"/>
        <v>0</v>
      </c>
      <c r="BW120" s="88">
        <f t="shared" si="1006"/>
        <v>0</v>
      </c>
      <c r="BX120" s="88">
        <f t="shared" si="1006"/>
        <v>5.55</v>
      </c>
      <c r="BY120" s="88">
        <f t="shared" si="1006"/>
        <v>0</v>
      </c>
      <c r="BZ120" s="88">
        <f t="shared" si="1006"/>
        <v>0</v>
      </c>
      <c r="CA120" s="88">
        <f t="shared" si="1006"/>
        <v>0</v>
      </c>
      <c r="CB120" s="88">
        <f t="shared" si="1006"/>
        <v>0</v>
      </c>
      <c r="CC120" s="88">
        <f t="shared" si="1006"/>
        <v>0</v>
      </c>
      <c r="CD120" s="103">
        <f>SUM(BM120:CC120)</f>
        <v>100.02</v>
      </c>
      <c r="CE120" s="52"/>
      <c r="CF120" s="107">
        <f>J120</f>
        <v>124.6</v>
      </c>
      <c r="CG120" s="104">
        <f>CD120/CF120</f>
        <v>0.80272873194221506</v>
      </c>
      <c r="CH120" s="53">
        <f>Seilareal/Lwl/Lwl</f>
        <v>0.91647567294028343</v>
      </c>
      <c r="CI120" s="119">
        <f>Seilareal/Depl^0.667/K$7</f>
        <v>1.4408008941220101</v>
      </c>
      <c r="CJ120" s="53">
        <f>Seilareal/Lwl/Lwl/SApRS1</f>
        <v>1.3905862002598912</v>
      </c>
      <c r="CK120" s="209"/>
      <c r="CL120" s="209">
        <f>(ROUND(TBF/CL$6,3)*CL$6)*CL$4</f>
        <v>98</v>
      </c>
      <c r="CM120" s="110">
        <f t="shared" si="690"/>
        <v>0.98064886851519917</v>
      </c>
      <c r="CN120" s="64">
        <f>IF(SeilBeregnet=0,"-",(SeilBeregnet)^(1/2)*StHfaktor/(Depl+DeplTillegg/1000+Vann/1000+Diesel/1000*0.84)^(1/3))</f>
        <v>3.5251787913028649</v>
      </c>
      <c r="CO120" s="64">
        <f t="shared" si="659"/>
        <v>1.6119156734236881</v>
      </c>
      <c r="CP120" s="64">
        <f t="shared" si="660"/>
        <v>1.8478837127354022</v>
      </c>
      <c r="CQ120" s="110">
        <f t="shared" si="661"/>
        <v>0.99903188895757034</v>
      </c>
      <c r="CR120" s="172">
        <f t="shared" si="965"/>
        <v>0.93176470588235305</v>
      </c>
      <c r="CS120" s="163">
        <f>CS119</f>
        <v>0.9</v>
      </c>
      <c r="CT120" s="172">
        <f t="shared" si="966"/>
        <v>0.94175438596491234</v>
      </c>
      <c r="CU120" s="163">
        <f>CU119</f>
        <v>1.22</v>
      </c>
      <c r="CV120" s="195" t="s">
        <v>145</v>
      </c>
      <c r="CW120" s="64" t="s">
        <v>111</v>
      </c>
      <c r="CX120" s="64" t="s">
        <v>111</v>
      </c>
      <c r="CY120" s="64" t="s">
        <v>111</v>
      </c>
      <c r="CZ120" s="154" t="s">
        <v>111</v>
      </c>
      <c r="DA120" s="64">
        <f t="shared" si="854"/>
        <v>1.8936190765247816</v>
      </c>
      <c r="DB120" s="49">
        <f t="shared" si="855"/>
        <v>10.410641989589358</v>
      </c>
      <c r="DC120" s="50">
        <f t="shared" si="856"/>
        <v>0</v>
      </c>
      <c r="DE120" s="110">
        <f>IF(SeilBeregnet=0,"-",DE$7*(DG:DG+DE$6)*DL:DL*PropF+ErfaringsF+Dyp_F)</f>
        <v>0.96963499286458921</v>
      </c>
      <c r="DF120" s="144" t="str">
        <f t="shared" si="248"/>
        <v>-</v>
      </c>
      <c r="DG120" s="110">
        <f t="shared" si="858"/>
        <v>5.1953195960553948</v>
      </c>
      <c r="DH120" s="136">
        <f>IF(SeilBeregnet=0,DH119,(SeilBeregnet^0.5/(Depl^0.3333))^DH$3*DH$7)</f>
        <v>3.5588032517617028</v>
      </c>
      <c r="DI120" s="136">
        <f>IF(SeilBeregnet=0,DI119,(SeilBeregnet^0.5/Lwl)^DI$3*DI$7)</f>
        <v>0</v>
      </c>
      <c r="DJ120" s="136">
        <f>IF(SeilBeregnet=0,DJ119,(0.1*Loa/Depl^0.3333)^DJ$3*DJ$7)</f>
        <v>0</v>
      </c>
      <c r="DK120" s="136">
        <f>IF(SeilBeregnet=0,DK119,((Loa)/Bredde)^DK$3*DK$7)</f>
        <v>1.6365163442936916</v>
      </c>
      <c r="DL120" s="110">
        <f>IF(SeilBeregnet=0,DL119,(Lwl)^DL$3)</f>
        <v>1.8478837127354022</v>
      </c>
      <c r="DM120" s="136">
        <f>IF(SeilBeregnet=0,DM119,(Dypg/Loa)^DM$3*5*DM$7)</f>
        <v>1.9050019050028575</v>
      </c>
      <c r="DO120" s="110">
        <f t="shared" si="258"/>
        <v>1.0109782149641227</v>
      </c>
      <c r="DP120" s="110">
        <f t="shared" si="859"/>
        <v>0.98072808006866286</v>
      </c>
      <c r="DR120" s="110">
        <f t="shared" si="860"/>
        <v>0.94839090768587941</v>
      </c>
      <c r="DS120" s="125" t="str">
        <f t="shared" si="249"/>
        <v>-</v>
      </c>
      <c r="DT120" s="110">
        <f t="shared" si="862"/>
        <v>0.98901496767585939</v>
      </c>
      <c r="DU120" s="125" t="str">
        <f t="shared" si="250"/>
        <v>-</v>
      </c>
      <c r="DV120" s="110">
        <f t="shared" si="214"/>
        <v>3.5584722885966342</v>
      </c>
      <c r="DW120" s="110">
        <f t="shared" si="215"/>
        <v>2.2674129716058933</v>
      </c>
      <c r="DX120" s="110">
        <f t="shared" ref="DX120:DX134" si="1007">IF(SeilBeregnet=0,DX119,((Loa+Lwl)/Bredde)^DX$3)</f>
        <v>1.5098321121096678</v>
      </c>
      <c r="DZ120" s="110">
        <f t="shared" si="864"/>
        <v>0.97261319010894587</v>
      </c>
      <c r="EB120" s="110">
        <f t="shared" si="217"/>
        <v>3.5584722885966342</v>
      </c>
      <c r="EC120" s="110">
        <f t="shared" ref="EC120:EC134" si="1008">IF(SeilBeregnet=0,EC119,Lwl^EC$3)</f>
        <v>2.2675800519171947</v>
      </c>
      <c r="ED120" s="110">
        <f t="shared" ref="ED120:ED134" si="1009">IF(SeilBeregnet=0,ED119,((Loa+Lwl)/Bredde)^ED$3)</f>
        <v>1.7319991990329835</v>
      </c>
      <c r="EE120" s="110">
        <f t="shared" si="865"/>
        <v>0.98083096848575468</v>
      </c>
      <c r="EG120" s="110">
        <f t="shared" ref="EG120:EG134" si="1010">IF(SeilBeregnet=0,EG119,(EH120*EI120)^EG$3)</f>
        <v>5.3726957313755799</v>
      </c>
      <c r="EH120" s="110">
        <f t="shared" si="219"/>
        <v>3.5584722885966342</v>
      </c>
      <c r="EI120" s="110">
        <f t="shared" ref="EI120:EI134" si="1011">IF(SeilBeregnet=0,EI119,((Loa+Lwl)/Bredde)^EI$3)</f>
        <v>1.5098321121096678</v>
      </c>
      <c r="EJ120" s="110">
        <f t="shared" ref="EJ120:EJ134" si="1012">IF(SeilBeregnet=0,EJ119,Lwl^EJ$3)</f>
        <v>1.8478837127354022</v>
      </c>
      <c r="EK120" s="110">
        <f>IF(SeilBeregnet=0,"-",EK$7*(EK$4*EM:EM+EK$6)*EP:EP*PropF+ErfaringsF+Dyp_F)</f>
        <v>0.97517050653880466</v>
      </c>
      <c r="EM120" s="110">
        <f>IF(SeilBeregnet=0,EM119,(EN:EN*EO:EO)^EM$3)</f>
        <v>1.8527943460556573</v>
      </c>
      <c r="EN120" s="110">
        <f t="shared" si="220"/>
        <v>3.5584722885966342</v>
      </c>
      <c r="EO120" s="110">
        <f t="shared" ref="EO120:EO134" si="1013">IF(SeilBeregnet=0,EO119,((Loa+Lwl)/Bredde/6)^EO$3)</f>
        <v>0.96469681660205731</v>
      </c>
      <c r="EP120" s="110">
        <f t="shared" ref="EP120:EP134" si="1014">IF(SeilBeregnet=0,EP119,(Lwl*0.7+Loa*0.3)^EP$3)</f>
        <v>1.8566172748144953</v>
      </c>
      <c r="EQ120" s="110">
        <f>IF(SeilBeregnet=0,"-",EQ$7*(ES:ES+EQ$6)*EV:EV*PropF+ErfaringsF+Dyp_F)</f>
        <v>0.94134270589722524</v>
      </c>
      <c r="ES120" s="110">
        <f>(ET:ET*EU:EU)^ES$3</f>
        <v>1.8528805055608861</v>
      </c>
      <c r="ET120" s="110">
        <f t="shared" si="221"/>
        <v>3.5588032517617028</v>
      </c>
      <c r="EU120" s="110">
        <f t="shared" ref="EU120:EU134" si="1015">IF(SeilBeregnet=0,EU119,((Loa+Lwl)/Bredde/6)^EU$3)</f>
        <v>0.96469681660205731</v>
      </c>
      <c r="EV120" s="110">
        <f t="shared" ref="EV120:EV134" si="1016">IF(SeilBeregnet=0,EV119,(Lwl*0.7+Loa*0.3)^EV$3)</f>
        <v>1.8566172748144953</v>
      </c>
      <c r="EW120" s="110">
        <f>IF(SeilBeregnet=0,"-",EW$7*(EY:EY+EW$6)*FB:FB*PropF+ErfaringsF+Dyp_F)</f>
        <v>0.94836094155574391</v>
      </c>
      <c r="EX120" s="144" t="str">
        <f t="shared" si="237"/>
        <v>-</v>
      </c>
      <c r="EY120" s="110">
        <f>(EZ:EZ*FA:FA)^EY$3</f>
        <v>3.3119644730270177</v>
      </c>
      <c r="EZ120" s="136">
        <f t="shared" ref="EZ120:EZ134" si="1017">IF(SeilBeregnet=0,EZ119,(SeilBeregnet^0.5/(Depl^0.3333))^EZ$3)</f>
        <v>3.5588032517617028</v>
      </c>
      <c r="FA120" s="136">
        <f t="shared" ref="FA120:FA134" si="1018">IF(SeilBeregnet=0,FA119,((Loa+Lwl)/Bredde/6)^FA$3)</f>
        <v>0.93063994796214333</v>
      </c>
      <c r="FB120" s="110">
        <f t="shared" ref="FB120:FB134" si="1019">IF(SeilBeregnet=0,FB119,(Lwl*0.07+Loa*0.03)^FB$3)</f>
        <v>1.0440526186904779</v>
      </c>
      <c r="FC120" s="110">
        <f>IF(SeilBeregnet=0,"-",FC$7*(FE:FE+FC$6)*FI:FI*PropF+ErfaringsF+Dyp_F)</f>
        <v>0.98509142485413992</v>
      </c>
      <c r="FD120" s="144" t="str">
        <f t="shared" si="238"/>
        <v>-</v>
      </c>
      <c r="FE120" s="110">
        <f>(FF:FF+FG:FG+FH:FH)^FE$3+FE$7</f>
        <v>5.5530382881655997</v>
      </c>
      <c r="FF120" s="136">
        <f t="shared" ref="FF120:FF134" si="1020">IF(SeilBeregnet=0,FF119,(SeilBeregnet^0.5/(Depl^0.3333))^FF$3)</f>
        <v>3.5588032517617028</v>
      </c>
      <c r="FG120" s="136">
        <f t="shared" ref="FG120:FG134" si="1021">IF(SeilBeregnet=0,FG119,(SeilBeregnet^0.5/Lwl*FG$7)^FG$3)</f>
        <v>0.85771869211020579</v>
      </c>
      <c r="FH120" s="136">
        <f t="shared" ref="FH120:FH134" si="1022">IF(SeilBeregnet=0,FH119,((Loa)/Bredde)^FH$3*FH$7)</f>
        <v>1.6365163442936916</v>
      </c>
      <c r="FI120" s="110">
        <f t="shared" ref="FI120:FI134" si="1023">IF(SeilBeregnet=0,FI119,(Lwl)^FI$3)</f>
        <v>1.8478837127354022</v>
      </c>
      <c r="FJ120" s="110">
        <f>IF(SeilBeregnet=0,"-",FJ$7*(FL:FL+FJ$6)*FO:FO*PropF+ErfaringsF+Dyp_F)</f>
        <v>0.9439915124663012</v>
      </c>
      <c r="FK120" s="144" t="str">
        <f t="shared" si="239"/>
        <v>-</v>
      </c>
      <c r="FL120" s="110">
        <f>(FM:FM*FN:FN)^FL$3</f>
        <v>5.8240396876335643</v>
      </c>
      <c r="FM120" s="136">
        <f t="shared" ref="FM120:FM134" si="1024">IF(SeilBeregnet=0,FM119,(SeilBeregnet^0.5/(Depl^0.3333))^FM$3)</f>
        <v>3.5588032517617028</v>
      </c>
      <c r="FN120" s="136">
        <f t="shared" ref="FN120:FN134" si="1025">IF(SeilBeregnet=0,FN119,(Loa/Bredde)^FN$3)</f>
        <v>1.6365163442936916</v>
      </c>
      <c r="FO120" s="110">
        <f t="shared" ref="FO120:FO134" si="1026">IF(SeilBeregnet=0,FO119,Lwl^FO$3)</f>
        <v>1.8478837127354022</v>
      </c>
      <c r="FQ120">
        <v>0.95</v>
      </c>
      <c r="FR120" s="64">
        <f t="shared" si="970"/>
        <v>1.165757318908361</v>
      </c>
      <c r="FS120" s="479"/>
      <c r="FT120" s="18"/>
      <c r="FU120" s="481"/>
      <c r="FV120" s="504"/>
      <c r="FW120" s="18"/>
      <c r="FX120" s="18"/>
      <c r="FY120" s="18"/>
      <c r="FZ120" s="18"/>
      <c r="GB120" s="18"/>
      <c r="GC120" s="481"/>
      <c r="GD120" s="8"/>
      <c r="GE120" s="8"/>
      <c r="GF120" s="8"/>
      <c r="GG120" s="8"/>
      <c r="GI120" s="18"/>
      <c r="GJ120" s="18"/>
      <c r="GK120" s="18"/>
      <c r="GL120" s="18"/>
      <c r="GM120" s="18"/>
      <c r="GN120" s="18"/>
      <c r="GO120" s="18"/>
      <c r="GP120" s="18"/>
    </row>
    <row r="121" spans="1:198" ht="15.6" x14ac:dyDescent="0.3">
      <c r="A121" s="62" t="s">
        <v>32</v>
      </c>
      <c r="B121" s="223"/>
      <c r="C121" s="63" t="str">
        <f t="shared" ref="C121:C122" si="1027">C120</f>
        <v>Gaffel</v>
      </c>
      <c r="D121" s="63"/>
      <c r="E121" s="63"/>
      <c r="F121" s="63"/>
      <c r="G121" s="56"/>
      <c r="H121" s="209">
        <f>TBFavrundet</f>
        <v>96</v>
      </c>
      <c r="I121" s="65">
        <f>COUNTA(O121:AD121)</f>
        <v>3</v>
      </c>
      <c r="J121" s="228">
        <f>SUM(O121:AD121)</f>
        <v>113.5</v>
      </c>
      <c r="K121" s="119">
        <f>Seilareal/Depl^0.667/K$7</f>
        <v>1.3124470423984604</v>
      </c>
      <c r="L121" s="119">
        <f>Seilareal/Lwl/Lwl/L$7</f>
        <v>1.2667057281661129</v>
      </c>
      <c r="M121" s="95">
        <f>RiggF</f>
        <v>0.8323348017621145</v>
      </c>
      <c r="N121" s="265">
        <f>StHfaktor</f>
        <v>0.99903188895757034</v>
      </c>
      <c r="O121" s="147"/>
      <c r="P121" s="147"/>
      <c r="Q121" s="169">
        <v>29</v>
      </c>
      <c r="R121" s="147"/>
      <c r="S121" s="147"/>
      <c r="T121" s="169">
        <v>21.3</v>
      </c>
      <c r="U121" s="169">
        <v>63.2</v>
      </c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260">
        <f t="shared" ref="AE121" si="1028">AE120</f>
        <v>11.57</v>
      </c>
      <c r="AF121" s="375">
        <f t="shared" si="1000"/>
        <v>0</v>
      </c>
      <c r="AG121" s="377"/>
      <c r="AH121" s="375">
        <f t="shared" si="1000"/>
        <v>0</v>
      </c>
      <c r="AI121" s="377"/>
      <c r="AJ121" s="295" t="str">
        <f t="shared" ref="AJ121" si="1029" xml:space="preserve"> AJ120</f>
        <v>Los</v>
      </c>
      <c r="AK121" s="47">
        <f>VLOOKUP(AJ121,Skrogform!$1:$1048576,3,FALSE)</f>
        <v>0.97</v>
      </c>
      <c r="AL121" s="66">
        <f t="shared" ref="AL121:AT121" si="1030">AL120</f>
        <v>12.4</v>
      </c>
      <c r="AM121" s="66">
        <f t="shared" si="1030"/>
        <v>11.66</v>
      </c>
      <c r="AN121" s="66">
        <f t="shared" si="1030"/>
        <v>4.63</v>
      </c>
      <c r="AO121" s="66">
        <f t="shared" si="1030"/>
        <v>1.8</v>
      </c>
      <c r="AP121" s="66">
        <f t="shared" si="1030"/>
        <v>22.2</v>
      </c>
      <c r="AQ121" s="66">
        <f t="shared" si="1030"/>
        <v>0</v>
      </c>
      <c r="AR121" s="66">
        <f t="shared" si="1030"/>
        <v>4</v>
      </c>
      <c r="AS121" s="284">
        <f t="shared" si="1030"/>
        <v>113</v>
      </c>
      <c r="AT121" s="284">
        <f t="shared" si="1030"/>
        <v>680</v>
      </c>
      <c r="AU121" s="284">
        <f t="shared" ref="AU121:AV121" si="1031">AU120</f>
        <v>200</v>
      </c>
      <c r="AV121" s="284">
        <f t="shared" si="1031"/>
        <v>200</v>
      </c>
      <c r="AW121" s="284"/>
      <c r="AX121" s="284">
        <f>AX120</f>
        <v>0</v>
      </c>
      <c r="AY121" s="68"/>
      <c r="AZ121" s="68"/>
      <c r="BA121" s="289"/>
      <c r="BB121" s="68"/>
      <c r="BC121" s="179"/>
      <c r="BD121" s="68"/>
      <c r="BE121" s="68"/>
      <c r="BF121" s="67">
        <f t="shared" ref="BF121:BH121" si="1032" xml:space="preserve"> BF120</f>
        <v>0</v>
      </c>
      <c r="BG121" s="295">
        <f t="shared" si="1032"/>
        <v>0</v>
      </c>
      <c r="BH121" s="295">
        <f t="shared" si="1032"/>
        <v>0</v>
      </c>
      <c r="BI121" s="47">
        <f t="shared" si="853"/>
        <v>1</v>
      </c>
      <c r="BJ121" s="61"/>
      <c r="BK121" s="61"/>
      <c r="BM121" s="51">
        <f t="shared" si="1005"/>
        <v>0</v>
      </c>
      <c r="BN121" s="51">
        <f t="shared" si="1005"/>
        <v>0</v>
      </c>
      <c r="BO121" s="51">
        <f t="shared" si="1005"/>
        <v>29</v>
      </c>
      <c r="BP121" s="51">
        <f t="shared" si="1005"/>
        <v>0</v>
      </c>
      <c r="BQ121" s="51">
        <f t="shared" si="1005"/>
        <v>0</v>
      </c>
      <c r="BR121" s="51">
        <f t="shared" si="1005"/>
        <v>21.3</v>
      </c>
      <c r="BS121" s="52">
        <f>IF(COUNT(P121:T121)&gt;1,MINA(P121:T121)*BS$9,0)</f>
        <v>-6.39</v>
      </c>
      <c r="BT121" s="88">
        <f t="shared" si="1006"/>
        <v>50.56</v>
      </c>
      <c r="BU121" s="88">
        <f t="shared" si="1006"/>
        <v>0</v>
      </c>
      <c r="BV121" s="88">
        <f t="shared" si="1006"/>
        <v>0</v>
      </c>
      <c r="BW121" s="88">
        <f t="shared" si="1006"/>
        <v>0</v>
      </c>
      <c r="BX121" s="88">
        <f t="shared" si="1006"/>
        <v>0</v>
      </c>
      <c r="BY121" s="88">
        <f t="shared" si="1006"/>
        <v>0</v>
      </c>
      <c r="BZ121" s="88">
        <f t="shared" si="1006"/>
        <v>0</v>
      </c>
      <c r="CA121" s="88">
        <f t="shared" si="1006"/>
        <v>0</v>
      </c>
      <c r="CB121" s="88">
        <f t="shared" si="1006"/>
        <v>0</v>
      </c>
      <c r="CC121" s="88">
        <f t="shared" si="1006"/>
        <v>0</v>
      </c>
      <c r="CD121" s="103">
        <f>SUM(BM121:CC121)</f>
        <v>94.47</v>
      </c>
      <c r="CE121" s="52"/>
      <c r="CF121" s="107">
        <f>J121</f>
        <v>113.5</v>
      </c>
      <c r="CG121" s="104">
        <f>CD121/CF121</f>
        <v>0.8323348017621145</v>
      </c>
      <c r="CH121" s="53">
        <f>Seilareal/Lwl/Lwl</f>
        <v>0.83483137141831598</v>
      </c>
      <c r="CI121" s="119">
        <f>Seilareal/Depl^0.667/K$7</f>
        <v>1.3124470423984604</v>
      </c>
      <c r="CJ121" s="53">
        <f>Seilareal/Lwl/Lwl/SApRS1</f>
        <v>1.2667057281661129</v>
      </c>
      <c r="CK121" s="209"/>
      <c r="CL121" s="209">
        <f>(ROUND(TBF/CL$6,3)*CL$6)*CL$4</f>
        <v>96</v>
      </c>
      <c r="CM121" s="110">
        <f t="shared" si="690"/>
        <v>0.96171203896034962</v>
      </c>
      <c r="CN121" s="64">
        <f>IF(SeilBeregnet=0,"-",(SeilBeregnet)^(1/2)*StHfaktor/(Depl+DeplTillegg/1000+Vann/1000+Diesel/1000*0.84)^(1/3))</f>
        <v>3.4259788784604859</v>
      </c>
      <c r="CO121" s="64">
        <f t="shared" si="659"/>
        <v>1.6119156734236881</v>
      </c>
      <c r="CP121" s="64">
        <f t="shared" si="660"/>
        <v>1.8478837127354022</v>
      </c>
      <c r="CQ121" s="110">
        <f t="shared" si="661"/>
        <v>0.99903188895757034</v>
      </c>
      <c r="CR121" s="172" t="str">
        <f t="shared" si="965"/>
        <v>-</v>
      </c>
      <c r="CS121" s="162"/>
      <c r="CT121" s="172" t="str">
        <f t="shared" si="966"/>
        <v>-</v>
      </c>
      <c r="CU121" s="164"/>
      <c r="CV121" s="195" t="s">
        <v>145</v>
      </c>
      <c r="CW121" s="64" t="s">
        <v>111</v>
      </c>
      <c r="CX121" s="64" t="s">
        <v>111</v>
      </c>
      <c r="CY121" s="64" t="s">
        <v>111</v>
      </c>
      <c r="CZ121" s="154" t="s">
        <v>111</v>
      </c>
      <c r="DA121" s="64">
        <f t="shared" si="854"/>
        <v>1.8936190765247816</v>
      </c>
      <c r="DB121" s="49">
        <f t="shared" si="855"/>
        <v>10.410641989589358</v>
      </c>
      <c r="DC121" s="50">
        <f t="shared" si="856"/>
        <v>0</v>
      </c>
      <c r="DE121" s="110">
        <f>IF(SeilBeregnet=0,"-",DE$7*(DG:DG+DE$6)*DL:DL*PropF+ErfaringsF+Dyp_F)</f>
        <v>0.95094409638649247</v>
      </c>
      <c r="DF121" s="144" t="str">
        <f t="shared" si="248"/>
        <v>-</v>
      </c>
      <c r="DG121" s="110">
        <f t="shared" si="858"/>
        <v>5.0951734777169655</v>
      </c>
      <c r="DH121" s="136">
        <f>IF(SeilBeregnet=0,DH120,(SeilBeregnet^0.5/(Depl^0.3333))^DH$3*DH$7)</f>
        <v>3.4586571334232739</v>
      </c>
      <c r="DI121" s="136">
        <f>IF(SeilBeregnet=0,DI120,(SeilBeregnet^0.5/Lwl)^DI$3*DI$7)</f>
        <v>0</v>
      </c>
      <c r="DJ121" s="136">
        <f>IF(SeilBeregnet=0,DJ120,(0.1*Loa/Depl^0.3333)^DJ$3*DJ$7)</f>
        <v>0</v>
      </c>
      <c r="DK121" s="136">
        <f>IF(SeilBeregnet=0,DK120,((Loa)/Bredde)^DK$3*DK$7)</f>
        <v>1.6365163442936916</v>
      </c>
      <c r="DL121" s="110">
        <f>IF(SeilBeregnet=0,DL120,(Lwl)^DL$3)</f>
        <v>1.8478837127354022</v>
      </c>
      <c r="DM121" s="136">
        <f>IF(SeilBeregnet=0,DM120,(Dypg/Loa)^DM$3*5*DM$7)</f>
        <v>1.9050019050028575</v>
      </c>
      <c r="DO121" s="110">
        <f t="shared" si="258"/>
        <v>0.99145571026840185</v>
      </c>
      <c r="DP121" s="110">
        <f t="shared" si="859"/>
        <v>0.95868243535254383</v>
      </c>
      <c r="DR121" s="110">
        <f t="shared" si="860"/>
        <v>0.9311559375065861</v>
      </c>
      <c r="DS121" s="125" t="str">
        <f t="shared" si="249"/>
        <v>-</v>
      </c>
      <c r="DT121" s="110">
        <f t="shared" si="862"/>
        <v>0.96753218484779868</v>
      </c>
      <c r="DU121" s="125" t="str">
        <f t="shared" si="250"/>
        <v>-</v>
      </c>
      <c r="DV121" s="110">
        <f t="shared" si="214"/>
        <v>3.4583354836913878</v>
      </c>
      <c r="DW121" s="110">
        <f t="shared" si="215"/>
        <v>2.2674129716058933</v>
      </c>
      <c r="DX121" s="110">
        <f t="shared" si="1007"/>
        <v>1.5098321121096678</v>
      </c>
      <c r="DZ121" s="110">
        <f t="shared" si="864"/>
        <v>0.95346437263135675</v>
      </c>
      <c r="EB121" s="110">
        <f t="shared" si="217"/>
        <v>3.4583354836913878</v>
      </c>
      <c r="EC121" s="110">
        <f t="shared" si="1008"/>
        <v>2.2675800519171947</v>
      </c>
      <c r="ED121" s="110">
        <f t="shared" si="1009"/>
        <v>1.7319991990329835</v>
      </c>
      <c r="EE121" s="110">
        <f t="shared" si="865"/>
        <v>0.96071734821591404</v>
      </c>
      <c r="EG121" s="110">
        <f t="shared" si="1010"/>
        <v>5.2215059677255775</v>
      </c>
      <c r="EH121" s="110">
        <f t="shared" si="219"/>
        <v>3.4583354836913878</v>
      </c>
      <c r="EI121" s="110">
        <f t="shared" si="1011"/>
        <v>1.5098321121096678</v>
      </c>
      <c r="EJ121" s="110">
        <f t="shared" si="1012"/>
        <v>1.8478837127354022</v>
      </c>
      <c r="EK121" s="110">
        <f>IF(SeilBeregnet=0,"-",EK$7*(EK$4*EM:EM+EK$6)*EP:EP*PropF+ErfaringsF+Dyp_F)</f>
        <v>0.95624427273679091</v>
      </c>
      <c r="EM121" s="110">
        <f>IF(SeilBeregnet=0,EM120,(EN:EN*EO:EO)^EM$3)</f>
        <v>1.8265391405220468</v>
      </c>
      <c r="EN121" s="110">
        <f t="shared" si="220"/>
        <v>3.4583354836913878</v>
      </c>
      <c r="EO121" s="110">
        <f t="shared" si="1013"/>
        <v>0.96469681660205731</v>
      </c>
      <c r="EP121" s="110">
        <f t="shared" si="1014"/>
        <v>1.8566172748144953</v>
      </c>
      <c r="EQ121" s="110">
        <f>IF(SeilBeregnet=0,"-",EQ$7*(ES:ES+EQ$6)*EV:EV*PropF+ErfaringsF+Dyp_F)</f>
        <v>0.92800331597868868</v>
      </c>
      <c r="ES121" s="110">
        <f>(ET:ET*EU:EU)^ES$3</f>
        <v>1.8266240790954851</v>
      </c>
      <c r="ET121" s="110">
        <f t="shared" si="221"/>
        <v>3.4586571334232739</v>
      </c>
      <c r="EU121" s="110">
        <f t="shared" si="1015"/>
        <v>0.96469681660205731</v>
      </c>
      <c r="EV121" s="110">
        <f t="shared" si="1016"/>
        <v>1.8566172748144953</v>
      </c>
      <c r="EW121" s="110">
        <f>IF(SeilBeregnet=0,"-",EW$7*(EY:EY+EW$6)*FB:FB*PropF+ErfaringsF+Dyp_F)</f>
        <v>0.93172167002476736</v>
      </c>
      <c r="EX121" s="144" t="str">
        <f t="shared" si="237"/>
        <v>-</v>
      </c>
      <c r="EY121" s="110">
        <f>(EZ:EZ*FA:FA)^EY$3</f>
        <v>3.2187644946679312</v>
      </c>
      <c r="EZ121" s="136">
        <f t="shared" si="1017"/>
        <v>3.4586571334232739</v>
      </c>
      <c r="FA121" s="136">
        <f t="shared" si="1018"/>
        <v>0.93063994796214333</v>
      </c>
      <c r="FB121" s="110">
        <f t="shared" si="1019"/>
        <v>1.0440526186904779</v>
      </c>
      <c r="FC121" s="110">
        <f>IF(SeilBeregnet=0,"-",FC$7*(FE:FE+FC$6)*FI:FI*PropF+ErfaringsF+Dyp_F)</f>
        <v>0.96304407441266027</v>
      </c>
      <c r="FD121" s="144" t="str">
        <f t="shared" si="238"/>
        <v>-</v>
      </c>
      <c r="FE121" s="110">
        <f>(FF:FF+FG:FG+FH:FH)^FE$3+FE$7</f>
        <v>5.4287556296577675</v>
      </c>
      <c r="FF121" s="136">
        <f t="shared" si="1020"/>
        <v>3.4586571334232739</v>
      </c>
      <c r="FG121" s="136">
        <f t="shared" si="1021"/>
        <v>0.83358215194080199</v>
      </c>
      <c r="FH121" s="136">
        <f t="shared" si="1022"/>
        <v>1.6365163442936916</v>
      </c>
      <c r="FI121" s="110">
        <f t="shared" si="1023"/>
        <v>1.8478837127354022</v>
      </c>
      <c r="FJ121" s="110">
        <f>IF(SeilBeregnet=0,"-",FJ$7*(FL:FL+FJ$6)*FO:FO*PropF+ErfaringsF+Dyp_F)</f>
        <v>0.92824325708068578</v>
      </c>
      <c r="FK121" s="144" t="str">
        <f t="shared" si="239"/>
        <v>-</v>
      </c>
      <c r="FL121" s="110">
        <f>(FM:FM*FN:FN)^FL$3</f>
        <v>5.6601489281551549</v>
      </c>
      <c r="FM121" s="136">
        <f t="shared" si="1024"/>
        <v>3.4586571334232739</v>
      </c>
      <c r="FN121" s="136">
        <f t="shared" si="1025"/>
        <v>1.6365163442936916</v>
      </c>
      <c r="FO121" s="110">
        <f t="shared" si="1026"/>
        <v>1.8478837127354022</v>
      </c>
      <c r="FQ121">
        <v>0.95</v>
      </c>
      <c r="FR121" s="64">
        <f t="shared" si="970"/>
        <v>1.1493158024193277</v>
      </c>
      <c r="FS121" s="479"/>
      <c r="FT121" s="18"/>
      <c r="FU121" s="481"/>
      <c r="FV121" s="504"/>
      <c r="FW121" s="18"/>
      <c r="FX121" s="18"/>
      <c r="FY121" s="18"/>
      <c r="FZ121" s="18"/>
      <c r="GB121" s="18"/>
      <c r="GC121" s="481"/>
      <c r="GD121" s="8"/>
      <c r="GE121" s="8"/>
      <c r="GF121" s="8"/>
      <c r="GG121" s="8"/>
      <c r="GI121" s="18"/>
      <c r="GJ121" s="18"/>
      <c r="GK121" s="18"/>
      <c r="GL121" s="18"/>
      <c r="GM121" s="18"/>
      <c r="GN121" s="18"/>
      <c r="GO121" s="18"/>
      <c r="GP121" s="18"/>
    </row>
    <row r="122" spans="1:198" ht="15.6" x14ac:dyDescent="0.3">
      <c r="A122" s="62" t="s">
        <v>119</v>
      </c>
      <c r="B122" s="223"/>
      <c r="C122" s="63" t="str">
        <f t="shared" si="1027"/>
        <v>Gaffel</v>
      </c>
      <c r="D122" s="63"/>
      <c r="E122" s="63"/>
      <c r="F122" s="63"/>
      <c r="G122" s="56"/>
      <c r="H122" s="209">
        <f>TBFavrundet</f>
        <v>92</v>
      </c>
      <c r="I122" s="65">
        <f>COUNTA(O122:AD122)</f>
        <v>3</v>
      </c>
      <c r="J122" s="228">
        <f>SUM(O122:AD122)</f>
        <v>99.5</v>
      </c>
      <c r="K122" s="119">
        <f>Seilareal/Depl^0.667/K$7</f>
        <v>1.1505593014858748</v>
      </c>
      <c r="L122" s="119">
        <f>Seilareal/Lwl/Lwl/L$7</f>
        <v>1.1104600876874735</v>
      </c>
      <c r="M122" s="95">
        <f>RiggF</f>
        <v>0.82773869346733664</v>
      </c>
      <c r="N122" s="265">
        <f>StHfaktor</f>
        <v>0.99903188895757034</v>
      </c>
      <c r="O122" s="147"/>
      <c r="P122" s="147"/>
      <c r="Q122" s="147"/>
      <c r="R122" s="169">
        <v>15</v>
      </c>
      <c r="S122" s="147"/>
      <c r="T122" s="169">
        <v>21.3</v>
      </c>
      <c r="U122" s="169">
        <v>63.2</v>
      </c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260">
        <f t="shared" ref="AE122" si="1033">AE121</f>
        <v>11.57</v>
      </c>
      <c r="AF122" s="375">
        <f t="shared" si="1000"/>
        <v>0</v>
      </c>
      <c r="AG122" s="377"/>
      <c r="AH122" s="375">
        <f t="shared" si="1000"/>
        <v>0</v>
      </c>
      <c r="AI122" s="377"/>
      <c r="AJ122" s="295" t="str">
        <f t="shared" ref="AJ122" si="1034" xml:space="preserve"> AJ121</f>
        <v>Los</v>
      </c>
      <c r="AK122" s="47">
        <f>VLOOKUP(AJ122,Skrogform!$1:$1048576,3,FALSE)</f>
        <v>0.97</v>
      </c>
      <c r="AL122" s="66">
        <f t="shared" ref="AL122:AT122" si="1035">AL121</f>
        <v>12.4</v>
      </c>
      <c r="AM122" s="66">
        <f t="shared" si="1035"/>
        <v>11.66</v>
      </c>
      <c r="AN122" s="66">
        <f t="shared" si="1035"/>
        <v>4.63</v>
      </c>
      <c r="AO122" s="66">
        <f t="shared" si="1035"/>
        <v>1.8</v>
      </c>
      <c r="AP122" s="66">
        <f t="shared" si="1035"/>
        <v>22.2</v>
      </c>
      <c r="AQ122" s="66">
        <f t="shared" si="1035"/>
        <v>0</v>
      </c>
      <c r="AR122" s="66">
        <f t="shared" si="1035"/>
        <v>4</v>
      </c>
      <c r="AS122" s="284">
        <f t="shared" si="1035"/>
        <v>113</v>
      </c>
      <c r="AT122" s="284">
        <f t="shared" si="1035"/>
        <v>680</v>
      </c>
      <c r="AU122" s="284">
        <f t="shared" ref="AU122:AV122" si="1036">AU121</f>
        <v>200</v>
      </c>
      <c r="AV122" s="284">
        <f t="shared" si="1036"/>
        <v>200</v>
      </c>
      <c r="AW122" s="284"/>
      <c r="AX122" s="284">
        <f>AX121</f>
        <v>0</v>
      </c>
      <c r="AY122" s="68"/>
      <c r="AZ122" s="68"/>
      <c r="BA122" s="289"/>
      <c r="BB122" s="68"/>
      <c r="BC122" s="179"/>
      <c r="BD122" s="68"/>
      <c r="BE122" s="68"/>
      <c r="BF122" s="67">
        <f t="shared" ref="BF122:BH122" si="1037" xml:space="preserve"> BF121</f>
        <v>0</v>
      </c>
      <c r="BG122" s="295">
        <f t="shared" si="1037"/>
        <v>0</v>
      </c>
      <c r="BH122" s="295">
        <f t="shared" si="1037"/>
        <v>0</v>
      </c>
      <c r="BI122" s="47">
        <f t="shared" si="853"/>
        <v>1</v>
      </c>
      <c r="BJ122" s="61"/>
      <c r="BK122" s="61"/>
      <c r="BM122" s="51">
        <f t="shared" si="1005"/>
        <v>0</v>
      </c>
      <c r="BN122" s="51">
        <f t="shared" si="1005"/>
        <v>0</v>
      </c>
      <c r="BO122" s="51">
        <f t="shared" si="1005"/>
        <v>0</v>
      </c>
      <c r="BP122" s="51">
        <f t="shared" si="1005"/>
        <v>15</v>
      </c>
      <c r="BQ122" s="51">
        <f t="shared" si="1005"/>
        <v>0</v>
      </c>
      <c r="BR122" s="51">
        <f t="shared" si="1005"/>
        <v>21.3</v>
      </c>
      <c r="BS122" s="52">
        <f>IF(COUNT(P122:T122)&gt;1,MINA(P122:T122)*BS$9,0)</f>
        <v>-4.5</v>
      </c>
      <c r="BT122" s="88">
        <f t="shared" si="1006"/>
        <v>50.56</v>
      </c>
      <c r="BU122" s="88">
        <f t="shared" si="1006"/>
        <v>0</v>
      </c>
      <c r="BV122" s="88">
        <f t="shared" si="1006"/>
        <v>0</v>
      </c>
      <c r="BW122" s="88">
        <f t="shared" si="1006"/>
        <v>0</v>
      </c>
      <c r="BX122" s="88">
        <f t="shared" si="1006"/>
        <v>0</v>
      </c>
      <c r="BY122" s="88">
        <f t="shared" si="1006"/>
        <v>0</v>
      </c>
      <c r="BZ122" s="88">
        <f t="shared" si="1006"/>
        <v>0</v>
      </c>
      <c r="CA122" s="88">
        <f t="shared" si="1006"/>
        <v>0</v>
      </c>
      <c r="CB122" s="88">
        <f t="shared" si="1006"/>
        <v>0</v>
      </c>
      <c r="CC122" s="88">
        <f t="shared" si="1006"/>
        <v>0</v>
      </c>
      <c r="CD122" s="103">
        <f>SUM(BM122:CC122)</f>
        <v>82.36</v>
      </c>
      <c r="CE122" s="52"/>
      <c r="CF122" s="107">
        <f>J122</f>
        <v>99.5</v>
      </c>
      <c r="CG122" s="104">
        <f>CD122/CF122</f>
        <v>0.82773869346733664</v>
      </c>
      <c r="CH122" s="53">
        <f>Seilareal/Lwl/Lwl</f>
        <v>0.73185657670592463</v>
      </c>
      <c r="CI122" s="119">
        <f>Seilareal/Depl^0.667/K$7</f>
        <v>1.1505593014858748</v>
      </c>
      <c r="CJ122" s="53">
        <f>Seilareal/Lwl/Lwl/SApRS1</f>
        <v>1.1104600876874735</v>
      </c>
      <c r="CK122" s="209"/>
      <c r="CL122" s="209">
        <f>(ROUND(TBF/CL$6,3)*CL$6)*CL$4</f>
        <v>92</v>
      </c>
      <c r="CM122" s="110">
        <f t="shared" si="690"/>
        <v>0.91835696502665642</v>
      </c>
      <c r="CN122" s="64">
        <f>IF(SeilBeregnet=0,"-",(SeilBeregnet)^(1/2)*StHfaktor/(Depl+DeplTillegg/1000+Vann/1000+Diesel/1000*0.84)^(1/3))</f>
        <v>3.1988648548040812</v>
      </c>
      <c r="CO122" s="64">
        <f t="shared" si="659"/>
        <v>1.6119156734236881</v>
      </c>
      <c r="CP122" s="64">
        <f t="shared" si="660"/>
        <v>1.8478837127354022</v>
      </c>
      <c r="CQ122" s="110">
        <f t="shared" si="661"/>
        <v>0.99903188895757034</v>
      </c>
      <c r="CR122" s="172" t="str">
        <f t="shared" si="965"/>
        <v>-</v>
      </c>
      <c r="CS122" s="162"/>
      <c r="CT122" s="172" t="str">
        <f t="shared" si="966"/>
        <v>-</v>
      </c>
      <c r="CU122" s="164"/>
      <c r="CV122" s="195" t="s">
        <v>145</v>
      </c>
      <c r="CW122" s="64" t="s">
        <v>111</v>
      </c>
      <c r="CX122" s="64" t="s">
        <v>111</v>
      </c>
      <c r="CY122" s="64" t="s">
        <v>111</v>
      </c>
      <c r="CZ122" s="154" t="s">
        <v>111</v>
      </c>
      <c r="DA122" s="64">
        <f t="shared" si="854"/>
        <v>1.8936190765247816</v>
      </c>
      <c r="DB122" s="49">
        <f t="shared" si="855"/>
        <v>10.410641989589358</v>
      </c>
      <c r="DC122" s="50">
        <f t="shared" si="856"/>
        <v>0</v>
      </c>
      <c r="DE122" s="110">
        <f>IF(SeilBeregnet=0,"-",DE$7*(DG:DG+DE$6)*DL:DL*PropF+ErfaringsF+Dyp_F)</f>
        <v>0.90815207587705127</v>
      </c>
      <c r="DF122" s="144" t="str">
        <f t="shared" si="248"/>
        <v>-</v>
      </c>
      <c r="DG122" s="110">
        <f t="shared" si="858"/>
        <v>4.8658931564171848</v>
      </c>
      <c r="DH122" s="136">
        <f>IF(SeilBeregnet=0,DH121,(SeilBeregnet^0.5/(Depl^0.3333))^DH$3*DH$7)</f>
        <v>3.2293768121234927</v>
      </c>
      <c r="DI122" s="136">
        <f>IF(SeilBeregnet=0,DI121,(SeilBeregnet^0.5/Lwl)^DI$3*DI$7)</f>
        <v>0</v>
      </c>
      <c r="DJ122" s="136">
        <f>IF(SeilBeregnet=0,DJ121,(0.1*Loa/Depl^0.3333)^DJ$3*DJ$7)</f>
        <v>0</v>
      </c>
      <c r="DK122" s="136">
        <f>IF(SeilBeregnet=0,DK121,((Loa)/Bredde)^DK$3*DK$7)</f>
        <v>1.6365163442936916</v>
      </c>
      <c r="DL122" s="110">
        <f>IF(SeilBeregnet=0,DL121,(Lwl)^DL$3)</f>
        <v>1.8478837127354022</v>
      </c>
      <c r="DM122" s="136">
        <f>IF(SeilBeregnet=0,DM121,(Dypg/Loa)^DM$3*5*DM$7)</f>
        <v>1.9050019050028575</v>
      </c>
      <c r="DO122" s="110">
        <f t="shared" si="258"/>
        <v>0.94675975775943955</v>
      </c>
      <c r="DP122" s="110">
        <f t="shared" si="859"/>
        <v>0.90820986000328086</v>
      </c>
      <c r="DR122" s="110">
        <f t="shared" si="860"/>
        <v>0.89169719895671529</v>
      </c>
      <c r="DS122" s="125" t="str">
        <f t="shared" si="249"/>
        <v>-</v>
      </c>
      <c r="DT122" s="110">
        <f t="shared" si="862"/>
        <v>0.91834825809203624</v>
      </c>
      <c r="DU122" s="125" t="str">
        <f t="shared" si="250"/>
        <v>-</v>
      </c>
      <c r="DV122" s="110">
        <f t="shared" si="214"/>
        <v>3.2290764851047373</v>
      </c>
      <c r="DW122" s="110">
        <f t="shared" si="215"/>
        <v>2.2674129716058933</v>
      </c>
      <c r="DX122" s="110">
        <f t="shared" si="1007"/>
        <v>1.5098321121096678</v>
      </c>
      <c r="DZ122" s="110">
        <f t="shared" si="864"/>
        <v>0.90962396127426792</v>
      </c>
      <c r="EB122" s="110">
        <f t="shared" si="217"/>
        <v>3.2290764851047373</v>
      </c>
      <c r="EC122" s="110">
        <f t="shared" si="1008"/>
        <v>2.2675800519171947</v>
      </c>
      <c r="ED122" s="110">
        <f t="shared" si="1009"/>
        <v>1.7319991990329835</v>
      </c>
      <c r="EE122" s="110">
        <f t="shared" si="865"/>
        <v>0.91466806148882929</v>
      </c>
      <c r="EG122" s="110">
        <f t="shared" si="1010"/>
        <v>4.8753633696693477</v>
      </c>
      <c r="EH122" s="110">
        <f t="shared" si="219"/>
        <v>3.2290764851047373</v>
      </c>
      <c r="EI122" s="110">
        <f t="shared" si="1011"/>
        <v>1.5098321121096678</v>
      </c>
      <c r="EJ122" s="110">
        <f t="shared" si="1012"/>
        <v>1.8478837127354022</v>
      </c>
      <c r="EK122" s="110">
        <f>IF(SeilBeregnet=0,"-",EK$7*(EK$4*EM:EM+EK$6)*EP:EP*PropF+ErfaringsF+Dyp_F)</f>
        <v>0.91185373716163087</v>
      </c>
      <c r="EM122" s="110">
        <f>IF(SeilBeregnet=0,EM121,(EN:EN*EO:EO)^EM$3)</f>
        <v>1.7649588680037562</v>
      </c>
      <c r="EN122" s="110">
        <f t="shared" si="220"/>
        <v>3.2290764851047373</v>
      </c>
      <c r="EO122" s="110">
        <f t="shared" si="1013"/>
        <v>0.96469681660205731</v>
      </c>
      <c r="EP122" s="110">
        <f t="shared" si="1014"/>
        <v>1.8566172748144953</v>
      </c>
      <c r="EQ122" s="110">
        <f>IF(SeilBeregnet=0,"-",EQ$7*(ES:ES+EQ$6)*EV:EV*PropF+ErfaringsF+Dyp_F)</f>
        <v>0.89671644353887225</v>
      </c>
      <c r="ES122" s="110">
        <f>(ET:ET*EU:EU)^ES$3</f>
        <v>1.7650409429426936</v>
      </c>
      <c r="ET122" s="110">
        <f t="shared" si="221"/>
        <v>3.2293768121234927</v>
      </c>
      <c r="EU122" s="110">
        <f t="shared" si="1015"/>
        <v>0.96469681660205731</v>
      </c>
      <c r="EV122" s="110">
        <f t="shared" si="1016"/>
        <v>1.8566172748144953</v>
      </c>
      <c r="EW122" s="110">
        <f>IF(SeilBeregnet=0,"-",EW$7*(EY:EY+EW$6)*FB:FB*PropF+ErfaringsF+Dyp_F)</f>
        <v>0.89362675844842232</v>
      </c>
      <c r="EX122" s="144" t="str">
        <f t="shared" si="237"/>
        <v>-</v>
      </c>
      <c r="EY122" s="110">
        <f>(EZ:EZ*FA:FA)^EY$3</f>
        <v>3.0053870683847594</v>
      </c>
      <c r="EZ122" s="136">
        <f t="shared" si="1017"/>
        <v>3.2293768121234927</v>
      </c>
      <c r="FA122" s="136">
        <f t="shared" si="1018"/>
        <v>0.93063994796214333</v>
      </c>
      <c r="FB122" s="110">
        <f t="shared" si="1019"/>
        <v>1.0440526186904779</v>
      </c>
      <c r="FC122" s="110">
        <f>IF(SeilBeregnet=0,"-",FC$7*(FE:FE+FC$6)*FI:FI*PropF+ErfaringsF+Dyp_F)</f>
        <v>0.91256759387700304</v>
      </c>
      <c r="FD122" s="144" t="str">
        <f t="shared" si="238"/>
        <v>-</v>
      </c>
      <c r="FE122" s="110">
        <f>(FF:FF+FG:FG+FH:FH)^FE$3+FE$7</f>
        <v>5.1442157159052408</v>
      </c>
      <c r="FF122" s="136">
        <f t="shared" si="1020"/>
        <v>3.2293768121234927</v>
      </c>
      <c r="FG122" s="136">
        <f t="shared" si="1021"/>
        <v>0.77832255948805673</v>
      </c>
      <c r="FH122" s="136">
        <f t="shared" si="1022"/>
        <v>1.6365163442936916</v>
      </c>
      <c r="FI122" s="110">
        <f t="shared" si="1023"/>
        <v>1.8478837127354022</v>
      </c>
      <c r="FJ122" s="110">
        <f>IF(SeilBeregnet=0,"-",FJ$7*(FL:FL+FJ$6)*FO:FO*PropF+ErfaringsF+Dyp_F)</f>
        <v>0.89218828945305528</v>
      </c>
      <c r="FK122" s="144" t="str">
        <f t="shared" si="239"/>
        <v>-</v>
      </c>
      <c r="FL122" s="110">
        <f>(FM:FM*FN:FN)^FL$3</f>
        <v>5.2849279349231537</v>
      </c>
      <c r="FM122" s="136">
        <f t="shared" si="1024"/>
        <v>3.2293768121234927</v>
      </c>
      <c r="FN122" s="136">
        <f t="shared" si="1025"/>
        <v>1.6365163442936916</v>
      </c>
      <c r="FO122" s="110">
        <f t="shared" si="1026"/>
        <v>1.8478837127354022</v>
      </c>
      <c r="FQ122">
        <v>0.95</v>
      </c>
      <c r="FR122" s="64">
        <f t="shared" si="970"/>
        <v>1.1116736426850682</v>
      </c>
      <c r="FS122" s="479"/>
      <c r="FT122" s="18"/>
      <c r="FU122" s="481"/>
      <c r="FV122" s="504"/>
      <c r="FW122" s="18"/>
      <c r="FX122" s="18"/>
      <c r="FY122" s="18"/>
      <c r="FZ122" s="18"/>
      <c r="GB122" s="18"/>
      <c r="GC122" s="481"/>
      <c r="GD122" s="8"/>
      <c r="GE122" s="8"/>
      <c r="GF122" s="8"/>
      <c r="GG122" s="8"/>
      <c r="GI122" s="18"/>
      <c r="GJ122" s="18"/>
      <c r="GK122" s="18"/>
      <c r="GL122" s="18"/>
      <c r="GM122" s="18"/>
      <c r="GN122" s="18"/>
      <c r="GO122" s="18"/>
      <c r="GP122" s="18"/>
    </row>
    <row r="123" spans="1:198" ht="15.6" x14ac:dyDescent="0.3">
      <c r="A123" s="54" t="s">
        <v>226</v>
      </c>
      <c r="B123" s="223">
        <f t="shared" ref="B123" si="1038">Loa/0.3048</f>
        <v>38.746719160104988</v>
      </c>
      <c r="C123" s="55" t="s">
        <v>22</v>
      </c>
      <c r="D123" s="55"/>
      <c r="E123" s="55"/>
      <c r="F123" s="55"/>
      <c r="G123" s="56"/>
      <c r="H123" s="209"/>
      <c r="I123" s="126" t="str">
        <f>A123</f>
        <v>Los Færder</v>
      </c>
      <c r="J123" s="229"/>
      <c r="K123" s="119"/>
      <c r="L123" s="119"/>
      <c r="M123" s="95"/>
      <c r="N123" s="265"/>
      <c r="O123" s="169"/>
      <c r="P123" s="169"/>
      <c r="Q123" s="169">
        <v>26.5</v>
      </c>
      <c r="R123" s="169">
        <v>15.9</v>
      </c>
      <c r="S123" s="169"/>
      <c r="T123" s="169">
        <v>18.7</v>
      </c>
      <c r="U123" s="169">
        <v>54.6</v>
      </c>
      <c r="V123" s="169">
        <v>42.2</v>
      </c>
      <c r="W123" s="169">
        <v>32.299999999999997</v>
      </c>
      <c r="X123" s="169"/>
      <c r="Y123" s="169">
        <v>13.7</v>
      </c>
      <c r="Z123" s="169"/>
      <c r="AA123" s="169"/>
      <c r="AB123" s="169"/>
      <c r="AC123" s="169"/>
      <c r="AD123" s="169"/>
      <c r="AE123" s="270">
        <v>11.2</v>
      </c>
      <c r="AF123" s="296"/>
      <c r="AG123" s="377"/>
      <c r="AH123" s="296"/>
      <c r="AI123" s="377"/>
      <c r="AJ123" s="296" t="s">
        <v>229</v>
      </c>
      <c r="AK123" s="47">
        <f>VLOOKUP(AJ123,Skrogform!$1:$1048576,3,FALSE)</f>
        <v>0.97</v>
      </c>
      <c r="AL123" s="57">
        <v>11.81</v>
      </c>
      <c r="AM123" s="57">
        <v>11.14</v>
      </c>
      <c r="AN123" s="57">
        <v>4.3499999999999996</v>
      </c>
      <c r="AO123" s="57">
        <v>1.95</v>
      </c>
      <c r="AP123" s="57">
        <v>18.5</v>
      </c>
      <c r="AQ123" s="57">
        <v>3</v>
      </c>
      <c r="AR123" s="57">
        <v>2</v>
      </c>
      <c r="AS123" s="281">
        <v>70</v>
      </c>
      <c r="AT123" s="281">
        <v>350</v>
      </c>
      <c r="AU123" s="281">
        <f>ROUND(Depl*10,-2)</f>
        <v>200</v>
      </c>
      <c r="AV123" s="281">
        <f>ROUND(Depl*10,-2)</f>
        <v>200</v>
      </c>
      <c r="AW123" s="270">
        <f>Depl+Diesel/1000+Vann/1000</f>
        <v>18.899999999999999</v>
      </c>
      <c r="AX123" s="281"/>
      <c r="AY123" s="98">
        <f>Bredde/(Loa+Lwl)*2</f>
        <v>0.37908496732026137</v>
      </c>
      <c r="AZ123" s="98">
        <f>(Kjøl+Ballast)/Depl</f>
        <v>0.27027027027027029</v>
      </c>
      <c r="BA123" s="288">
        <f>BA$7*((Depl-Kjøl-Ballast-VektMotor/1000-VektAnnet/1000)/Loa/Lwl/Bredde)</f>
        <v>0.99418571948331602</v>
      </c>
      <c r="BB123" s="98">
        <f>BB$7*(Depl/Loa/Lwl/Lwl)</f>
        <v>0.947849987145849</v>
      </c>
      <c r="BC123" s="178">
        <f>BC$7*(Depl/Loa/Lwl/Bredde)</f>
        <v>0.89723840403746391</v>
      </c>
      <c r="BD123" s="98">
        <f>BD$7*Bredde/(Loa+Lwl)*2</f>
        <v>1.0814112024738209</v>
      </c>
      <c r="BE123" s="98">
        <f>BE$7*(Dypg/Lwl)</f>
        <v>0.95741940519865731</v>
      </c>
      <c r="BF123" s="58" t="s">
        <v>24</v>
      </c>
      <c r="BG123" s="296">
        <v>3</v>
      </c>
      <c r="BH123" s="296">
        <v>75</v>
      </c>
      <c r="BI123" s="47">
        <f t="shared" si="853"/>
        <v>1</v>
      </c>
      <c r="BJ123" s="61"/>
      <c r="BK123" s="61"/>
      <c r="BM123" s="214"/>
      <c r="BN123" s="214" t="str">
        <f>$A123</f>
        <v>Los Færder</v>
      </c>
      <c r="BO123" s="10"/>
      <c r="BP123" s="10"/>
      <c r="BQ123" s="10"/>
      <c r="BR123" s="10"/>
      <c r="BS123" s="52"/>
      <c r="BT123" s="214" t="str">
        <f>$A123</f>
        <v>Los Færder</v>
      </c>
      <c r="BU123" s="10"/>
      <c r="BV123" s="10"/>
      <c r="BW123" s="10"/>
      <c r="BX123" s="10"/>
      <c r="BY123" s="10"/>
      <c r="BZ123" s="10"/>
      <c r="CA123" s="10"/>
      <c r="CB123" s="10"/>
      <c r="CC123" s="10"/>
      <c r="CD123" s="214"/>
      <c r="CE123" s="10"/>
      <c r="CF123" s="214" t="str">
        <f>$A123</f>
        <v>Los Færder</v>
      </c>
      <c r="CG123" s="212"/>
      <c r="CH123" s="212"/>
      <c r="CI123" s="119"/>
      <c r="CJ123" s="212"/>
      <c r="CK123" s="208"/>
      <c r="CL123" s="208" t="s">
        <v>26</v>
      </c>
      <c r="CM123" s="110" t="str">
        <f t="shared" si="690"/>
        <v>-</v>
      </c>
      <c r="CN123" s="64" t="str">
        <f>IF(SeilBeregnet=0,"-",(SeilBeregnet)^(1/2)*StHfaktor/(Depl+DeplTillegg/1000+Vann/1000+Diesel/1000*0.84)^(1/3))</f>
        <v>-</v>
      </c>
      <c r="CO123" s="64" t="str">
        <f t="shared" si="659"/>
        <v>-</v>
      </c>
      <c r="CP123" s="64" t="str">
        <f t="shared" si="660"/>
        <v>-</v>
      </c>
      <c r="CQ123" s="110" t="str">
        <f t="shared" si="661"/>
        <v>-</v>
      </c>
      <c r="CR123" s="172">
        <f t="shared" si="965"/>
        <v>0.93176470588235305</v>
      </c>
      <c r="CS123" s="162">
        <v>0.9</v>
      </c>
      <c r="CT123" s="172" t="str">
        <f t="shared" si="966"/>
        <v>-</v>
      </c>
      <c r="CU123" s="164">
        <v>1.23</v>
      </c>
      <c r="CV123" s="195" t="s">
        <v>145</v>
      </c>
      <c r="CW123" s="30" t="s">
        <v>26</v>
      </c>
      <c r="CX123" s="30" t="s">
        <v>26</v>
      </c>
      <c r="CY123" s="30" t="s">
        <v>26</v>
      </c>
      <c r="CZ123" s="153">
        <v>2022</v>
      </c>
      <c r="DA123" s="64" t="str">
        <f t="shared" si="854"/>
        <v>-</v>
      </c>
      <c r="DB123" s="49">
        <f t="shared" si="855"/>
        <v>11.825348696179502</v>
      </c>
      <c r="DC123" s="50">
        <f t="shared" si="856"/>
        <v>0</v>
      </c>
      <c r="DE123" s="110" t="str">
        <f>IF(SeilBeregnet=0,"-",DE$7*(DG:DG+DE$6)*DL:DL*PropF+ErfaringsF+Dyp_F)</f>
        <v>-</v>
      </c>
      <c r="DF123" s="144" t="str">
        <f t="shared" ref="DF123:DF126" si="1039">IF($DQ123=0,"-",(DE123-$DO123)*100)</f>
        <v>-</v>
      </c>
      <c r="DG123" s="110">
        <f t="shared" si="858"/>
        <v>4.4185769001480573</v>
      </c>
      <c r="DH123" s="136">
        <f>IF(SeilBeregnet=0,DH102,(SeilBeregnet^0.5/(Depl^0.3333))^DH$3*DH$7)</f>
        <v>2.7537228133179887</v>
      </c>
      <c r="DI123" s="136">
        <f>IF(SeilBeregnet=0,DI102,(SeilBeregnet^0.5/Lwl)^DI$3*DI$7)</f>
        <v>0</v>
      </c>
      <c r="DJ123" s="136">
        <f>IF(SeilBeregnet=0,DJ102,(0.1*Loa/Depl^0.3333)^DJ$3*DJ$7)</f>
        <v>0</v>
      </c>
      <c r="DK123" s="136">
        <f>IF(SeilBeregnet=0,DK102,((Loa)/Bredde)^DK$3*DK$7)</f>
        <v>1.664854086830069</v>
      </c>
      <c r="DL123" s="110">
        <f>IF(SeilBeregnet=0,DL102,(Lwl)^DL$3)</f>
        <v>1.8374951981506853</v>
      </c>
      <c r="DM123" s="136">
        <f>IF(SeilBeregnet=0,DM102,(Dypg/Loa)^DM$3*5*DM$7)</f>
        <v>2.0291986247835694</v>
      </c>
      <c r="DO123" s="110" t="str">
        <f t="shared" si="344"/>
        <v>-</v>
      </c>
      <c r="DP123" s="110" t="str">
        <f t="shared" si="859"/>
        <v>-</v>
      </c>
      <c r="DR123" s="110" t="str">
        <f t="shared" si="860"/>
        <v>-</v>
      </c>
      <c r="DS123" s="125" t="str">
        <f t="shared" ref="DS123:DS126" si="1040">IF($DQ123=0,"-",DR123-$DO123)</f>
        <v>-</v>
      </c>
      <c r="DT123" s="110" t="str">
        <f t="shared" si="862"/>
        <v>-</v>
      </c>
      <c r="DU123" s="125" t="str">
        <f t="shared" ref="DU123:DU126" si="1041">IF($DQ123=0,"-",DT123-$DO123)</f>
        <v>-</v>
      </c>
      <c r="DV123" s="110">
        <f t="shared" si="214"/>
        <v>3.2290764851047373</v>
      </c>
      <c r="DW123" s="110">
        <f t="shared" si="215"/>
        <v>2.2674129716058933</v>
      </c>
      <c r="DX123" s="110">
        <f t="shared" si="1007"/>
        <v>1.5098321121096678</v>
      </c>
      <c r="DZ123" s="110" t="str">
        <f t="shared" si="864"/>
        <v>-</v>
      </c>
      <c r="EB123" s="110">
        <f t="shared" si="217"/>
        <v>3.2290764851047373</v>
      </c>
      <c r="EC123" s="110">
        <f t="shared" si="1008"/>
        <v>2.2675800519171947</v>
      </c>
      <c r="ED123" s="110">
        <f t="shared" si="1009"/>
        <v>1.7319991990329835</v>
      </c>
      <c r="EE123" s="110" t="str">
        <f t="shared" si="865"/>
        <v>-</v>
      </c>
      <c r="EG123" s="110">
        <f t="shared" si="1010"/>
        <v>4.8753633696693477</v>
      </c>
      <c r="EH123" s="110">
        <f t="shared" si="219"/>
        <v>3.2290764851047373</v>
      </c>
      <c r="EI123" s="110">
        <f t="shared" si="1011"/>
        <v>1.5098321121096678</v>
      </c>
      <c r="EJ123" s="110">
        <f t="shared" si="1012"/>
        <v>1.8478837127354022</v>
      </c>
      <c r="EK123" s="110" t="str">
        <f>IF(SeilBeregnet=0,"-",EK$7*(EK$4*EM:EM+EK$6)*EP:EP*PropF+ErfaringsF+Dyp_F)</f>
        <v>-</v>
      </c>
      <c r="EM123" s="110">
        <f>IF(SeilBeregnet=0,EM122,(EN:EN*EO:EO)^EM$3)</f>
        <v>1.7649588680037562</v>
      </c>
      <c r="EN123" s="110">
        <f t="shared" si="220"/>
        <v>3.2290764851047373</v>
      </c>
      <c r="EO123" s="110">
        <f t="shared" si="1013"/>
        <v>0.96469681660205731</v>
      </c>
      <c r="EP123" s="110">
        <f t="shared" si="1014"/>
        <v>1.8566172748144953</v>
      </c>
      <c r="EQ123" s="110" t="str">
        <f>IF(SeilBeregnet=0,"-",EQ$7*(ES:ES+EQ$6)*EV:EV*PropF+ErfaringsF+Dyp_F)</f>
        <v>-</v>
      </c>
      <c r="ES123" s="110">
        <f>(ET:ET*EU:EU)^ES$3</f>
        <v>1.7650409429426936</v>
      </c>
      <c r="ET123" s="110">
        <f t="shared" si="221"/>
        <v>3.2293768121234927</v>
      </c>
      <c r="EU123" s="110">
        <f t="shared" si="1015"/>
        <v>0.96469681660205731</v>
      </c>
      <c r="EV123" s="110">
        <f t="shared" si="1016"/>
        <v>1.8566172748144953</v>
      </c>
      <c r="EW123" s="110" t="str">
        <f>IF(SeilBeregnet=0,"-",EW$7*(EY:EY+EW$6)*FB:FB*PropF+ErfaringsF+Dyp_F)</f>
        <v>-</v>
      </c>
      <c r="EX123" s="144" t="str">
        <f t="shared" si="237"/>
        <v>-</v>
      </c>
      <c r="EY123" s="110">
        <f>(EZ:EZ*FA:FA)^EY$3</f>
        <v>3.0053870683847594</v>
      </c>
      <c r="EZ123" s="136">
        <f t="shared" si="1017"/>
        <v>3.2293768121234927</v>
      </c>
      <c r="FA123" s="136">
        <f t="shared" si="1018"/>
        <v>0.93063994796214333</v>
      </c>
      <c r="FB123" s="110">
        <f t="shared" si="1019"/>
        <v>1.0440526186904779</v>
      </c>
      <c r="FC123" s="110" t="str">
        <f>IF(SeilBeregnet=0,"-",FC$7*(FE:FE+FC$6)*FI:FI*PropF+ErfaringsF+Dyp_F)</f>
        <v>-</v>
      </c>
      <c r="FD123" s="144" t="str">
        <f t="shared" si="238"/>
        <v>-</v>
      </c>
      <c r="FE123" s="110">
        <f>(FF:FF+FG:FG+FH:FH)^FE$3+FE$7</f>
        <v>5.1442157159052408</v>
      </c>
      <c r="FF123" s="136">
        <f t="shared" si="1020"/>
        <v>3.2293768121234927</v>
      </c>
      <c r="FG123" s="136">
        <f t="shared" si="1021"/>
        <v>0.77832255948805673</v>
      </c>
      <c r="FH123" s="136">
        <f t="shared" si="1022"/>
        <v>1.6365163442936916</v>
      </c>
      <c r="FI123" s="110">
        <f t="shared" si="1023"/>
        <v>1.8478837127354022</v>
      </c>
      <c r="FJ123" s="110" t="str">
        <f>IF(SeilBeregnet=0,"-",FJ$7*(FL:FL+FJ$6)*FO:FO*PropF+ErfaringsF+Dyp_F)</f>
        <v>-</v>
      </c>
      <c r="FK123" s="144" t="str">
        <f t="shared" si="239"/>
        <v>-</v>
      </c>
      <c r="FL123" s="110">
        <f>(FM:FM*FN:FN)^FL$3</f>
        <v>5.2849279349231537</v>
      </c>
      <c r="FM123" s="136">
        <f t="shared" si="1024"/>
        <v>3.2293768121234927</v>
      </c>
      <c r="FN123" s="136">
        <f t="shared" si="1025"/>
        <v>1.6365163442936916</v>
      </c>
      <c r="FO123" s="110">
        <f t="shared" si="1026"/>
        <v>1.8478837127354022</v>
      </c>
      <c r="FQ123">
        <v>0.95</v>
      </c>
      <c r="FR123" s="64" t="str">
        <f t="shared" si="970"/>
        <v>-</v>
      </c>
      <c r="FS123" s="480"/>
      <c r="FT123" s="59"/>
      <c r="FU123" s="475"/>
      <c r="FV123" s="77"/>
      <c r="FW123" s="59"/>
      <c r="FX123" s="59"/>
      <c r="FY123" s="59"/>
      <c r="FZ123" s="59"/>
      <c r="GB123" s="59" t="s">
        <v>522</v>
      </c>
      <c r="GC123" s="475" t="s">
        <v>522</v>
      </c>
      <c r="GD123" s="60" t="s">
        <v>522</v>
      </c>
      <c r="GE123" s="60" t="s">
        <v>522</v>
      </c>
      <c r="GF123" s="60" t="s">
        <v>522</v>
      </c>
      <c r="GG123" s="60" t="s">
        <v>522</v>
      </c>
      <c r="GI123" s="59"/>
      <c r="GJ123" s="59"/>
      <c r="GK123" s="59"/>
      <c r="GL123" s="59"/>
      <c r="GM123" s="59"/>
      <c r="GN123" s="59"/>
      <c r="GO123" s="59"/>
      <c r="GP123" s="59"/>
    </row>
    <row r="124" spans="1:198" ht="15.6" x14ac:dyDescent="0.3">
      <c r="A124" s="62" t="s">
        <v>31</v>
      </c>
      <c r="B124" s="223"/>
      <c r="C124" s="63" t="str">
        <f>C123</f>
        <v>Gaffel</v>
      </c>
      <c r="D124" s="63"/>
      <c r="E124" s="63"/>
      <c r="F124" s="63"/>
      <c r="G124" s="56"/>
      <c r="H124" s="209">
        <f>TBFavrundet</f>
        <v>98</v>
      </c>
      <c r="I124" s="65">
        <f>COUNTA(O124:AD124)</f>
        <v>4</v>
      </c>
      <c r="J124" s="228">
        <f>SUM(O124:AD124)</f>
        <v>113.50000000000001</v>
      </c>
      <c r="K124" s="119">
        <f>Seilareal/Depl^0.667/K$7</f>
        <v>1.4821620174327392</v>
      </c>
      <c r="L124" s="119">
        <f>Seilareal/Lwl/Lwl/L$7</f>
        <v>1.3877219370268783</v>
      </c>
      <c r="M124" s="95">
        <f>RiggF</f>
        <v>0.79400881057268713</v>
      </c>
      <c r="N124" s="265">
        <f>StHfaktor</f>
        <v>1.0006716684435335</v>
      </c>
      <c r="O124" s="147"/>
      <c r="P124" s="147"/>
      <c r="Q124" s="169">
        <v>26.5</v>
      </c>
      <c r="R124" s="147"/>
      <c r="S124" s="147"/>
      <c r="T124" s="169">
        <v>18.7</v>
      </c>
      <c r="U124" s="169">
        <v>54.6</v>
      </c>
      <c r="V124" s="148"/>
      <c r="W124" s="148"/>
      <c r="X124" s="148"/>
      <c r="Y124" s="169">
        <v>13.7</v>
      </c>
      <c r="Z124" s="147"/>
      <c r="AA124" s="147"/>
      <c r="AB124" s="147"/>
      <c r="AC124" s="147"/>
      <c r="AD124" s="147"/>
      <c r="AE124" s="260">
        <f t="shared" ref="AE124" si="1042">AE123</f>
        <v>11.2</v>
      </c>
      <c r="AF124" s="375">
        <f t="shared" ref="AF124:AH140" si="1043" xml:space="preserve"> AF123</f>
        <v>0</v>
      </c>
      <c r="AG124" s="377"/>
      <c r="AH124" s="375">
        <f t="shared" si="1043"/>
        <v>0</v>
      </c>
      <c r="AI124" s="377"/>
      <c r="AJ124" s="295" t="str">
        <f t="shared" ref="AJ124" si="1044" xml:space="preserve"> AJ123</f>
        <v>Los</v>
      </c>
      <c r="AK124" s="47">
        <f>VLOOKUP(AJ124,Skrogform!$1:$1048576,3,FALSE)</f>
        <v>0.97</v>
      </c>
      <c r="AL124" s="66">
        <f t="shared" ref="AL124:AT124" si="1045">AL123</f>
        <v>11.81</v>
      </c>
      <c r="AM124" s="66">
        <f t="shared" si="1045"/>
        <v>11.14</v>
      </c>
      <c r="AN124" s="66">
        <f t="shared" si="1045"/>
        <v>4.3499999999999996</v>
      </c>
      <c r="AO124" s="66">
        <f t="shared" si="1045"/>
        <v>1.95</v>
      </c>
      <c r="AP124" s="66">
        <f t="shared" si="1045"/>
        <v>18.5</v>
      </c>
      <c r="AQ124" s="66">
        <f t="shared" si="1045"/>
        <v>3</v>
      </c>
      <c r="AR124" s="66">
        <f t="shared" si="1045"/>
        <v>2</v>
      </c>
      <c r="AS124" s="284">
        <f t="shared" si="1045"/>
        <v>70</v>
      </c>
      <c r="AT124" s="284">
        <f t="shared" si="1045"/>
        <v>350</v>
      </c>
      <c r="AU124" s="284">
        <f t="shared" ref="AU124:AV124" si="1046">AU123</f>
        <v>200</v>
      </c>
      <c r="AV124" s="284">
        <f t="shared" si="1046"/>
        <v>200</v>
      </c>
      <c r="AW124" s="284"/>
      <c r="AX124" s="284">
        <f>AX123</f>
        <v>0</v>
      </c>
      <c r="AY124" s="68"/>
      <c r="AZ124" s="68"/>
      <c r="BA124" s="289"/>
      <c r="BB124" s="68"/>
      <c r="BC124" s="179"/>
      <c r="BD124" s="68"/>
      <c r="BE124" s="68"/>
      <c r="BF124" s="67" t="str">
        <f t="shared" ref="BF124:BH124" si="1047" xml:space="preserve"> BF123</f>
        <v>Seilrett</v>
      </c>
      <c r="BG124" s="295">
        <f t="shared" si="1047"/>
        <v>3</v>
      </c>
      <c r="BH124" s="295">
        <f t="shared" si="1047"/>
        <v>75</v>
      </c>
      <c r="BI124" s="47">
        <f t="shared" si="853"/>
        <v>1</v>
      </c>
      <c r="BJ124" s="61"/>
      <c r="BK124" s="61"/>
      <c r="BM124" s="51">
        <f t="shared" ref="BM124:BR126" si="1048">IF(O124=0,0,O124*BM$9)</f>
        <v>0</v>
      </c>
      <c r="BN124" s="51">
        <f t="shared" si="1048"/>
        <v>0</v>
      </c>
      <c r="BO124" s="51">
        <f t="shared" si="1048"/>
        <v>26.5</v>
      </c>
      <c r="BP124" s="51">
        <f t="shared" si="1048"/>
        <v>0</v>
      </c>
      <c r="BQ124" s="51">
        <f t="shared" si="1048"/>
        <v>0</v>
      </c>
      <c r="BR124" s="51">
        <f t="shared" si="1048"/>
        <v>18.7</v>
      </c>
      <c r="BS124" s="52">
        <f>IF(COUNT(P124:T124)&gt;1,MINA(P124:T124)*BS$9,0)</f>
        <v>-5.6099999999999994</v>
      </c>
      <c r="BT124" s="88">
        <f t="shared" ref="BT124:CC126" si="1049">IF(U124=0,0,U124*BT$9)</f>
        <v>43.680000000000007</v>
      </c>
      <c r="BU124" s="88">
        <f t="shared" si="1049"/>
        <v>0</v>
      </c>
      <c r="BV124" s="88">
        <f t="shared" si="1049"/>
        <v>0</v>
      </c>
      <c r="BW124" s="88">
        <f t="shared" si="1049"/>
        <v>0</v>
      </c>
      <c r="BX124" s="88">
        <f t="shared" si="1049"/>
        <v>6.85</v>
      </c>
      <c r="BY124" s="88">
        <f t="shared" si="1049"/>
        <v>0</v>
      </c>
      <c r="BZ124" s="88">
        <f t="shared" si="1049"/>
        <v>0</v>
      </c>
      <c r="CA124" s="88">
        <f t="shared" si="1049"/>
        <v>0</v>
      </c>
      <c r="CB124" s="88">
        <f t="shared" si="1049"/>
        <v>0</v>
      </c>
      <c r="CC124" s="88">
        <f t="shared" si="1049"/>
        <v>0</v>
      </c>
      <c r="CD124" s="103">
        <f>SUM(BM124:CC124)</f>
        <v>90.12</v>
      </c>
      <c r="CE124" s="52"/>
      <c r="CF124" s="107">
        <f>J124</f>
        <v>113.50000000000001</v>
      </c>
      <c r="CG124" s="104">
        <f>CD124/CF124</f>
        <v>0.79400881057268713</v>
      </c>
      <c r="CH124" s="53">
        <f>Seilareal/Lwl/Lwl</f>
        <v>0.91458795999342468</v>
      </c>
      <c r="CI124" s="119">
        <f>Seilareal/Depl^0.667/K$7</f>
        <v>1.4821620174327392</v>
      </c>
      <c r="CJ124" s="53">
        <f>Seilareal/Lwl/Lwl/SApRS1</f>
        <v>1.3877219370268783</v>
      </c>
      <c r="CK124" s="209"/>
      <c r="CL124" s="209">
        <f>(ROUND(TBF/CL$6,3)*CL$6)*CL$4</f>
        <v>98</v>
      </c>
      <c r="CM124" s="110">
        <f t="shared" si="690"/>
        <v>0.97761430427416685</v>
      </c>
      <c r="CN124" s="64">
        <f>IF(SeilBeregnet=0,"-",(SeilBeregnet)^(1/2)*StHfaktor/(Depl+DeplTillegg/1000+Vann/1000+Diesel/1000*0.84)^(1/3))</f>
        <v>3.5557712522177956</v>
      </c>
      <c r="CO124" s="64">
        <f t="shared" si="659"/>
        <v>1.6241708760111293</v>
      </c>
      <c r="CP124" s="64">
        <f t="shared" si="660"/>
        <v>1.8269274352463283</v>
      </c>
      <c r="CQ124" s="110">
        <f t="shared" si="661"/>
        <v>1.0006716684435335</v>
      </c>
      <c r="CR124" s="172">
        <f t="shared" si="965"/>
        <v>0.93176470588235305</v>
      </c>
      <c r="CS124" s="163">
        <f>CS123</f>
        <v>0.9</v>
      </c>
      <c r="CT124" s="172">
        <f t="shared" si="966"/>
        <v>0.94947368421052636</v>
      </c>
      <c r="CU124" s="163">
        <f>CU123</f>
        <v>1.23</v>
      </c>
      <c r="CV124" s="195" t="s">
        <v>145</v>
      </c>
      <c r="CW124" s="64">
        <v>0.94</v>
      </c>
      <c r="CX124" s="64">
        <v>0.91</v>
      </c>
      <c r="CY124" s="64">
        <v>0.95</v>
      </c>
      <c r="CZ124" s="154">
        <v>0.99</v>
      </c>
      <c r="DA124" s="64">
        <f t="shared" si="854"/>
        <v>2.0138686341547749</v>
      </c>
      <c r="DB124" s="49">
        <f t="shared" si="855"/>
        <v>11.825348696179502</v>
      </c>
      <c r="DC124" s="50">
        <f t="shared" si="856"/>
        <v>0</v>
      </c>
      <c r="DE124" s="110">
        <f>IF(SeilBeregnet=0,"-",DE$7*(DG:DG+DE$6)*DL:DL*PropF+ErfaringsF+Dyp_F)</f>
        <v>0.96641110215723125</v>
      </c>
      <c r="DF124" s="144">
        <f t="shared" si="1039"/>
        <v>-4.1438696063559322</v>
      </c>
      <c r="DG124" s="110">
        <f t="shared" si="858"/>
        <v>5.2374421498256503</v>
      </c>
      <c r="DH124" s="136">
        <f>IF(SeilBeregnet=0,DH123,(SeilBeregnet^0.5/(Depl^0.3333))^DH$3*DH$7)</f>
        <v>3.5897338841622068</v>
      </c>
      <c r="DI124" s="136">
        <f>IF(SeilBeregnet=0,DI123,(SeilBeregnet^0.5/Lwl)^DI$3*DI$7)</f>
        <v>0</v>
      </c>
      <c r="DJ124" s="136">
        <f>IF(SeilBeregnet=0,DJ123,(0.1*Loa/Depl^0.3333)^DJ$3*DJ$7)</f>
        <v>0</v>
      </c>
      <c r="DK124" s="136">
        <f>IF(SeilBeregnet=0,DK123,((Loa)/Bredde)^DK$3*DK$7)</f>
        <v>1.6477082656634434</v>
      </c>
      <c r="DL124" s="110">
        <f>IF(SeilBeregnet=0,DL123,(Lwl)^DL$3)</f>
        <v>1.8269274352463283</v>
      </c>
      <c r="DM124" s="136">
        <f>IF(SeilBeregnet=0,DM123,(Dypg/Loa)^DM$3*5*DM$7)</f>
        <v>2.0317130081956618</v>
      </c>
      <c r="DO124" s="110">
        <f t="shared" si="733"/>
        <v>1.0078497982207906</v>
      </c>
      <c r="DP124" s="110">
        <f t="shared" si="859"/>
        <v>0.97197258022568811</v>
      </c>
      <c r="DQ124" s="125">
        <f>DP124-DO124</f>
        <v>-3.5877217995102462E-2</v>
      </c>
      <c r="DR124" s="110">
        <f t="shared" si="860"/>
        <v>0.94394857749717997</v>
      </c>
      <c r="DS124" s="125">
        <f t="shared" si="1040"/>
        <v>-6.3901220723610597E-2</v>
      </c>
      <c r="DT124" s="110">
        <f t="shared" si="862"/>
        <v>0.98691121932937442</v>
      </c>
      <c r="DU124" s="125">
        <f t="shared" si="1041"/>
        <v>-2.0938578891416149E-2</v>
      </c>
      <c r="DV124" s="110">
        <f t="shared" si="214"/>
        <v>3.5894196773002656</v>
      </c>
      <c r="DW124" s="110">
        <f t="shared" si="215"/>
        <v>2.2331959630580456</v>
      </c>
      <c r="DX124" s="110">
        <f t="shared" si="1007"/>
        <v>1.515560780855169</v>
      </c>
      <c r="DZ124" s="110">
        <f t="shared" si="864"/>
        <v>0.97159390082762198</v>
      </c>
      <c r="EB124" s="110">
        <f t="shared" si="217"/>
        <v>3.5894196773002656</v>
      </c>
      <c r="EC124" s="110">
        <f t="shared" si="1008"/>
        <v>2.2333574652932007</v>
      </c>
      <c r="ED124" s="110">
        <f t="shared" si="1009"/>
        <v>1.7407660223285584</v>
      </c>
      <c r="EE124" s="110">
        <f t="shared" si="865"/>
        <v>0.97855784305263072</v>
      </c>
      <c r="EG124" s="110">
        <f t="shared" si="1010"/>
        <v>5.4399836889460991</v>
      </c>
      <c r="EH124" s="110">
        <f t="shared" si="219"/>
        <v>3.5894196773002656</v>
      </c>
      <c r="EI124" s="110">
        <f t="shared" si="1011"/>
        <v>1.515560780855169</v>
      </c>
      <c r="EJ124" s="110">
        <f t="shared" si="1012"/>
        <v>1.8269274352463283</v>
      </c>
      <c r="EK124" s="110">
        <f>IF(SeilBeregnet=0,"-",EK$7*(EK$4*EM:EM+EK$6)*EP:EP*PropF+ErfaringsF+Dyp_F)</f>
        <v>0.97211661448009823</v>
      </c>
      <c r="EM124" s="110">
        <f>IF(SeilBeregnet=0,EM123,(EN:EN*EO:EO)^EM$3)</f>
        <v>1.8643604976678489</v>
      </c>
      <c r="EN124" s="110">
        <f t="shared" si="220"/>
        <v>3.5894196773002656</v>
      </c>
      <c r="EO124" s="110">
        <f t="shared" si="1013"/>
        <v>0.96835710999350633</v>
      </c>
      <c r="EP124" s="110">
        <f t="shared" si="1014"/>
        <v>1.83511310912736</v>
      </c>
      <c r="EQ124" s="110">
        <f>IF(SeilBeregnet=0,"-",EQ$7*(ES:ES+EQ$6)*EV:EV*PropF+ErfaringsF+Dyp_F)</f>
        <v>0.93624540740668249</v>
      </c>
      <c r="ES124" s="110">
        <f>(ET:ET*EU:EU)^ES$3</f>
        <v>1.8644420961008896</v>
      </c>
      <c r="ET124" s="110">
        <f t="shared" si="221"/>
        <v>3.5897338841622068</v>
      </c>
      <c r="EU124" s="110">
        <f t="shared" si="1015"/>
        <v>0.96835710999350633</v>
      </c>
      <c r="EV124" s="110">
        <f t="shared" si="1016"/>
        <v>1.83511310912736</v>
      </c>
      <c r="EW124" s="110">
        <f>IF(SeilBeregnet=0,"-",EW$7*(EY:EY+EW$6)*FB:FB*PropF+ErfaringsF+Dyp_F)</f>
        <v>0.9469382982608302</v>
      </c>
      <c r="EX124" s="144">
        <f t="shared" si="237"/>
        <v>-6.0911499959960373</v>
      </c>
      <c r="EY124" s="110">
        <f>(EZ:EZ*FA:FA)^EY$3</f>
        <v>3.3661490770412712</v>
      </c>
      <c r="EZ124" s="136">
        <f t="shared" si="1017"/>
        <v>3.5897338841622068</v>
      </c>
      <c r="FA124" s="136">
        <f t="shared" si="1018"/>
        <v>0.93771549247497576</v>
      </c>
      <c r="FB124" s="110">
        <f t="shared" si="1019"/>
        <v>1.0319599376608612</v>
      </c>
      <c r="FC124" s="110">
        <f>IF(SeilBeregnet=0,"-",FC$7*(FE:FE+FC$6)*FI:FI*PropF+ErfaringsF+Dyp_F)</f>
        <v>0.9803340265074928</v>
      </c>
      <c r="FD124" s="144">
        <f t="shared" si="238"/>
        <v>-2.7515771713297776</v>
      </c>
      <c r="FE124" s="110">
        <f>(FF:FF+FG:FG+FH:FH)^FE$3+FE$7</f>
        <v>5.5896105007273249</v>
      </c>
      <c r="FF124" s="136">
        <f t="shared" si="1020"/>
        <v>3.5897338841622068</v>
      </c>
      <c r="FG124" s="136">
        <f t="shared" si="1021"/>
        <v>0.85216835090167464</v>
      </c>
      <c r="FH124" s="136">
        <f t="shared" si="1022"/>
        <v>1.6477082656634434</v>
      </c>
      <c r="FI124" s="110">
        <f t="shared" si="1023"/>
        <v>1.8269274352463283</v>
      </c>
      <c r="FJ124" s="110">
        <f>IF(SeilBeregnet=0,"-",FJ$7*(FL:FL+FJ$6)*FO:FO*PropF+ErfaringsF+Dyp_F)</f>
        <v>0.94191149531101404</v>
      </c>
      <c r="FK124" s="144">
        <f t="shared" si="239"/>
        <v>-6.5938302909776532</v>
      </c>
      <c r="FL124" s="110">
        <f>(FM:FM*FN:FN)^FL$3</f>
        <v>5.9148341924662065</v>
      </c>
      <c r="FM124" s="136">
        <f t="shared" si="1024"/>
        <v>3.5897338841622068</v>
      </c>
      <c r="FN124" s="136">
        <f t="shared" si="1025"/>
        <v>1.6477082656634434</v>
      </c>
      <c r="FO124" s="110">
        <f t="shared" si="1026"/>
        <v>1.8269274352463283</v>
      </c>
      <c r="FQ124">
        <v>0.95</v>
      </c>
      <c r="FR124" s="64">
        <f t="shared" si="970"/>
        <v>1.1799466472495739</v>
      </c>
      <c r="FS124" s="479"/>
      <c r="FT124" s="18"/>
      <c r="FU124" s="481"/>
      <c r="FV124" s="504"/>
      <c r="FW124" s="18"/>
      <c r="FX124" s="18"/>
      <c r="FY124" s="18"/>
      <c r="FZ124" s="18"/>
      <c r="GB124" s="18"/>
      <c r="GC124" s="481"/>
      <c r="GD124" s="8"/>
      <c r="GE124" s="8"/>
      <c r="GF124" s="8"/>
      <c r="GG124" s="8"/>
      <c r="GI124" s="18"/>
      <c r="GJ124" s="18"/>
      <c r="GK124" s="18"/>
      <c r="GL124" s="18"/>
      <c r="GM124" s="18"/>
      <c r="GN124" s="18"/>
      <c r="GO124" s="18"/>
      <c r="GP124" s="18"/>
    </row>
    <row r="125" spans="1:198" ht="15.6" x14ac:dyDescent="0.3">
      <c r="A125" s="62" t="s">
        <v>32</v>
      </c>
      <c r="B125" s="223"/>
      <c r="C125" s="14" t="str">
        <f>C123</f>
        <v>Gaffel</v>
      </c>
      <c r="G125" s="56"/>
      <c r="H125" s="209">
        <f>TBFavrundet</f>
        <v>95</v>
      </c>
      <c r="I125" s="65">
        <f>COUNTA(O125:AD125)</f>
        <v>3</v>
      </c>
      <c r="J125" s="228">
        <f>SUM(O125:AD125)</f>
        <v>99.800000000000011</v>
      </c>
      <c r="K125" s="119">
        <f>Seilareal/Depl^0.667/K$7</f>
        <v>1.3032578796457037</v>
      </c>
      <c r="L125" s="119">
        <f>Seilareal/Lwl/Lwl/L$7</f>
        <v>1.2202171745839865</v>
      </c>
      <c r="M125" s="95">
        <f>RiggF</f>
        <v>0.83436873747494988</v>
      </c>
      <c r="N125" s="265">
        <f>StHfaktor</f>
        <v>1.0006716684435335</v>
      </c>
      <c r="O125" s="147"/>
      <c r="P125" s="147"/>
      <c r="Q125" s="169">
        <v>26.5</v>
      </c>
      <c r="R125" s="147"/>
      <c r="S125" s="147"/>
      <c r="T125" s="169">
        <v>18.7</v>
      </c>
      <c r="U125" s="169">
        <v>54.6</v>
      </c>
      <c r="V125" s="148"/>
      <c r="W125" s="148"/>
      <c r="X125" s="148"/>
      <c r="Y125" s="147"/>
      <c r="Z125" s="147"/>
      <c r="AA125" s="147"/>
      <c r="AB125" s="147"/>
      <c r="AC125" s="147"/>
      <c r="AD125" s="147"/>
      <c r="AE125" s="260">
        <f t="shared" ref="AE125" si="1050">AE124</f>
        <v>11.2</v>
      </c>
      <c r="AF125" s="375">
        <f t="shared" si="1043"/>
        <v>0</v>
      </c>
      <c r="AG125" s="377"/>
      <c r="AH125" s="375">
        <f t="shared" si="1043"/>
        <v>0</v>
      </c>
      <c r="AI125" s="377"/>
      <c r="AJ125" s="295" t="str">
        <f t="shared" ref="AJ125" si="1051" xml:space="preserve"> AJ124</f>
        <v>Los</v>
      </c>
      <c r="AK125" s="47">
        <f>VLOOKUP(AJ125,Skrogform!$1:$1048576,3,FALSE)</f>
        <v>0.97</v>
      </c>
      <c r="AL125" s="66">
        <f t="shared" ref="AL125:AT125" si="1052">AL124</f>
        <v>11.81</v>
      </c>
      <c r="AM125" s="66">
        <f t="shared" si="1052"/>
        <v>11.14</v>
      </c>
      <c r="AN125" s="66">
        <f t="shared" si="1052"/>
        <v>4.3499999999999996</v>
      </c>
      <c r="AO125" s="66">
        <f t="shared" si="1052"/>
        <v>1.95</v>
      </c>
      <c r="AP125" s="66">
        <f t="shared" si="1052"/>
        <v>18.5</v>
      </c>
      <c r="AQ125" s="66">
        <f t="shared" si="1052"/>
        <v>3</v>
      </c>
      <c r="AR125" s="66">
        <f t="shared" si="1052"/>
        <v>2</v>
      </c>
      <c r="AS125" s="284">
        <f t="shared" si="1052"/>
        <v>70</v>
      </c>
      <c r="AT125" s="284">
        <f t="shared" si="1052"/>
        <v>350</v>
      </c>
      <c r="AU125" s="284">
        <f t="shared" ref="AU125:AV125" si="1053">AU124</f>
        <v>200</v>
      </c>
      <c r="AV125" s="284">
        <f t="shared" si="1053"/>
        <v>200</v>
      </c>
      <c r="AW125" s="284"/>
      <c r="AX125" s="284">
        <f>AX124</f>
        <v>0</v>
      </c>
      <c r="AY125" s="68"/>
      <c r="AZ125" s="68"/>
      <c r="BA125" s="289"/>
      <c r="BB125" s="68"/>
      <c r="BC125" s="179"/>
      <c r="BD125" s="68"/>
      <c r="BE125" s="68"/>
      <c r="BF125" s="67" t="str">
        <f t="shared" ref="BF125:BH125" si="1054" xml:space="preserve"> BF124</f>
        <v>Seilrett</v>
      </c>
      <c r="BG125" s="295">
        <f t="shared" si="1054"/>
        <v>3</v>
      </c>
      <c r="BH125" s="295">
        <f t="shared" si="1054"/>
        <v>75</v>
      </c>
      <c r="BI125" s="47">
        <f t="shared" si="853"/>
        <v>1</v>
      </c>
      <c r="BJ125" s="61"/>
      <c r="BK125" s="61"/>
      <c r="BM125" s="51">
        <f t="shared" si="1048"/>
        <v>0</v>
      </c>
      <c r="BN125" s="51">
        <f t="shared" si="1048"/>
        <v>0</v>
      </c>
      <c r="BO125" s="51">
        <f t="shared" si="1048"/>
        <v>26.5</v>
      </c>
      <c r="BP125" s="51">
        <f t="shared" si="1048"/>
        <v>0</v>
      </c>
      <c r="BQ125" s="51">
        <f t="shared" si="1048"/>
        <v>0</v>
      </c>
      <c r="BR125" s="51">
        <f t="shared" si="1048"/>
        <v>18.7</v>
      </c>
      <c r="BS125" s="52">
        <f>IF(COUNT(P125:T125)&gt;1,MINA(P125:T125)*BS$9,0)</f>
        <v>-5.6099999999999994</v>
      </c>
      <c r="BT125" s="88">
        <f t="shared" si="1049"/>
        <v>43.680000000000007</v>
      </c>
      <c r="BU125" s="88">
        <f t="shared" si="1049"/>
        <v>0</v>
      </c>
      <c r="BV125" s="88">
        <f t="shared" si="1049"/>
        <v>0</v>
      </c>
      <c r="BW125" s="88">
        <f t="shared" si="1049"/>
        <v>0</v>
      </c>
      <c r="BX125" s="88">
        <f t="shared" si="1049"/>
        <v>0</v>
      </c>
      <c r="BY125" s="88">
        <f t="shared" si="1049"/>
        <v>0</v>
      </c>
      <c r="BZ125" s="88">
        <f t="shared" si="1049"/>
        <v>0</v>
      </c>
      <c r="CA125" s="88">
        <f t="shared" si="1049"/>
        <v>0</v>
      </c>
      <c r="CB125" s="88">
        <f t="shared" si="1049"/>
        <v>0</v>
      </c>
      <c r="CC125" s="88">
        <f t="shared" si="1049"/>
        <v>0</v>
      </c>
      <c r="CD125" s="103">
        <f>SUM(BM125:CC125)</f>
        <v>83.27000000000001</v>
      </c>
      <c r="CE125" s="52"/>
      <c r="CF125" s="107">
        <f>J125</f>
        <v>99.800000000000011</v>
      </c>
      <c r="CG125" s="104">
        <f>CD125/CF125</f>
        <v>0.83436873747494988</v>
      </c>
      <c r="CH125" s="53">
        <f>Seilareal/Lwl/Lwl</f>
        <v>0.80419276129818318</v>
      </c>
      <c r="CI125" s="119">
        <f>Seilareal/Depl^0.667/K$7</f>
        <v>1.3032578796457037</v>
      </c>
      <c r="CJ125" s="53">
        <f>Seilareal/Lwl/Lwl/SApRS1</f>
        <v>1.2202171745839865</v>
      </c>
      <c r="CK125" s="209"/>
      <c r="CL125" s="209">
        <f>(ROUND(TBF/CL$6,3)*CL$6)*CL$4</f>
        <v>95</v>
      </c>
      <c r="CM125" s="110">
        <f t="shared" si="690"/>
        <v>0.9516058710440356</v>
      </c>
      <c r="CN125" s="64">
        <f>IF(SeilBeregnet=0,"-",(SeilBeregnet)^(1/2)*StHfaktor/(Depl+DeplTillegg/1000+Vann/1000+Diesel/1000*0.84)^(1/3))</f>
        <v>3.417964165732895</v>
      </c>
      <c r="CO125" s="64">
        <f t="shared" si="659"/>
        <v>1.6241708760111293</v>
      </c>
      <c r="CP125" s="64">
        <f t="shared" si="660"/>
        <v>1.8269274352463283</v>
      </c>
      <c r="CQ125" s="110">
        <f t="shared" si="661"/>
        <v>1.0006716684435335</v>
      </c>
      <c r="CR125" s="172" t="str">
        <f t="shared" si="965"/>
        <v>-</v>
      </c>
      <c r="CS125" s="162"/>
      <c r="CT125" s="172" t="str">
        <f t="shared" si="966"/>
        <v>-</v>
      </c>
      <c r="CU125" s="164"/>
      <c r="CV125" s="195" t="s">
        <v>145</v>
      </c>
      <c r="CW125" s="64">
        <v>0.91</v>
      </c>
      <c r="CX125" s="64">
        <v>0.89</v>
      </c>
      <c r="CY125" s="64">
        <v>0.92</v>
      </c>
      <c r="CZ125" s="154">
        <v>0.96</v>
      </c>
      <c r="DA125" s="64">
        <f t="shared" si="854"/>
        <v>2.0138686341547749</v>
      </c>
      <c r="DB125" s="49">
        <f t="shared" si="855"/>
        <v>11.825348696179502</v>
      </c>
      <c r="DC125" s="50">
        <f t="shared" si="856"/>
        <v>0</v>
      </c>
      <c r="DE125" s="110">
        <f>IF(SeilBeregnet=0,"-",DE$7*(DG:DG+DE$6)*DL:DL*PropF+ErfaringsF+Dyp_F)</f>
        <v>0.94074010949975528</v>
      </c>
      <c r="DF125" s="144" t="str">
        <f t="shared" si="1039"/>
        <v>-</v>
      </c>
      <c r="DG125" s="110">
        <f t="shared" si="858"/>
        <v>5.0983188112464397</v>
      </c>
      <c r="DH125" s="136">
        <f>IF(SeilBeregnet=0,DH124,(SeilBeregnet^0.5/(Depl^0.3333))^DH$3*DH$7)</f>
        <v>3.4506105455829963</v>
      </c>
      <c r="DI125" s="136">
        <f>IF(SeilBeregnet=0,DI124,(SeilBeregnet^0.5/Lwl)^DI$3*DI$7)</f>
        <v>0</v>
      </c>
      <c r="DJ125" s="136">
        <f>IF(SeilBeregnet=0,DJ124,(0.1*Loa/Depl^0.3333)^DJ$3*DJ$7)</f>
        <v>0</v>
      </c>
      <c r="DK125" s="136">
        <f>IF(SeilBeregnet=0,DK124,((Loa)/Bredde)^DK$3*DK$7)</f>
        <v>1.6477082656634434</v>
      </c>
      <c r="DL125" s="110">
        <f>IF(SeilBeregnet=0,DL124,(Lwl)^DL$3)</f>
        <v>1.8269274352463283</v>
      </c>
      <c r="DM125" s="136">
        <f>IF(SeilBeregnet=0,DM124,(Dypg/Loa)^DM$3*5*DM$7)</f>
        <v>2.0317130081956618</v>
      </c>
      <c r="DO125" s="110">
        <f t="shared" si="733"/>
        <v>0.98103698045776866</v>
      </c>
      <c r="DP125" s="110">
        <f t="shared" si="859"/>
        <v>0.94194990584139127</v>
      </c>
      <c r="DR125" s="110">
        <f t="shared" si="860"/>
        <v>0.92038416475819096</v>
      </c>
      <c r="DS125" s="125" t="str">
        <f t="shared" si="1040"/>
        <v>-</v>
      </c>
      <c r="DT125" s="110">
        <f t="shared" si="862"/>
        <v>0.95740594266041179</v>
      </c>
      <c r="DU125" s="125" t="str">
        <f t="shared" si="1041"/>
        <v>-</v>
      </c>
      <c r="DV125" s="110">
        <f t="shared" si="214"/>
        <v>3.4503085160882496</v>
      </c>
      <c r="DW125" s="110">
        <f t="shared" si="215"/>
        <v>2.2331959630580456</v>
      </c>
      <c r="DX125" s="110">
        <f t="shared" si="1007"/>
        <v>1.515560780855169</v>
      </c>
      <c r="DZ125" s="110">
        <f t="shared" si="864"/>
        <v>0.94526101037141508</v>
      </c>
      <c r="EB125" s="110">
        <f t="shared" si="217"/>
        <v>3.4503085160882496</v>
      </c>
      <c r="EC125" s="110">
        <f t="shared" si="1008"/>
        <v>2.2333574652932007</v>
      </c>
      <c r="ED125" s="110">
        <f t="shared" si="1009"/>
        <v>1.7407660223285584</v>
      </c>
      <c r="EE125" s="110">
        <f t="shared" si="865"/>
        <v>0.95082784412545629</v>
      </c>
      <c r="EG125" s="110">
        <f t="shared" si="1010"/>
        <v>5.2291522688339471</v>
      </c>
      <c r="EH125" s="110">
        <f t="shared" si="219"/>
        <v>3.4503085160882496</v>
      </c>
      <c r="EI125" s="110">
        <f t="shared" si="1011"/>
        <v>1.515560780855169</v>
      </c>
      <c r="EJ125" s="110">
        <f t="shared" si="1012"/>
        <v>1.8269274352463283</v>
      </c>
      <c r="EK125" s="110">
        <f>IF(SeilBeregnet=0,"-",EK$7*(EK$4*EM:EM+EK$6)*EP:EP*PropF+ErfaringsF+Dyp_F)</f>
        <v>0.94612117070097712</v>
      </c>
      <c r="EM125" s="110">
        <f>IF(SeilBeregnet=0,EM124,(EN:EN*EO:EO)^EM$3)</f>
        <v>1.8278760305954014</v>
      </c>
      <c r="EN125" s="110">
        <f t="shared" si="220"/>
        <v>3.4503085160882496</v>
      </c>
      <c r="EO125" s="110">
        <f t="shared" si="1013"/>
        <v>0.96835710999350633</v>
      </c>
      <c r="EP125" s="110">
        <f t="shared" si="1014"/>
        <v>1.83511310912736</v>
      </c>
      <c r="EQ125" s="110">
        <f>IF(SeilBeregnet=0,"-",EQ$7*(ES:ES+EQ$6)*EV:EV*PropF+ErfaringsF+Dyp_F)</f>
        <v>0.91792362104562797</v>
      </c>
      <c r="ES125" s="110">
        <f>(ET:ET*EU:EU)^ES$3</f>
        <v>1.8279560321938453</v>
      </c>
      <c r="ET125" s="110">
        <f t="shared" si="221"/>
        <v>3.4506105455829963</v>
      </c>
      <c r="EU125" s="110">
        <f t="shared" si="1015"/>
        <v>0.96835710999350633</v>
      </c>
      <c r="EV125" s="110">
        <f t="shared" si="1016"/>
        <v>1.83511310912736</v>
      </c>
      <c r="EW125" s="110">
        <f>IF(SeilBeregnet=0,"-",EW$7*(EY:EY+EW$6)*FB:FB*PropF+ErfaringsF+Dyp_F)</f>
        <v>0.92391698840578829</v>
      </c>
      <c r="EX125" s="144" t="str">
        <f t="shared" si="237"/>
        <v>-</v>
      </c>
      <c r="EY125" s="110">
        <f>(EZ:EZ*FA:FA)^EY$3</f>
        <v>3.2356909670907044</v>
      </c>
      <c r="EZ125" s="136">
        <f t="shared" si="1017"/>
        <v>3.4506105455829963</v>
      </c>
      <c r="FA125" s="136">
        <f t="shared" si="1018"/>
        <v>0.93771549247497576</v>
      </c>
      <c r="FB125" s="110">
        <f t="shared" si="1019"/>
        <v>1.0319599376608612</v>
      </c>
      <c r="FC125" s="110">
        <f>IF(SeilBeregnet=0,"-",FC$7*(FE:FE+FC$6)*FI:FI*PropF+ErfaringsF+Dyp_F)</f>
        <v>0.9501415134409279</v>
      </c>
      <c r="FD125" s="144" t="str">
        <f t="shared" si="238"/>
        <v>-</v>
      </c>
      <c r="FE125" s="110">
        <f>(FF:FF+FG:FG+FH:FH)^FE$3+FE$7</f>
        <v>5.4174606176089632</v>
      </c>
      <c r="FF125" s="136">
        <f t="shared" si="1020"/>
        <v>3.4506105455829963</v>
      </c>
      <c r="FG125" s="136">
        <f t="shared" si="1021"/>
        <v>0.81914180636252409</v>
      </c>
      <c r="FH125" s="136">
        <f t="shared" si="1022"/>
        <v>1.6477082656634434</v>
      </c>
      <c r="FI125" s="110">
        <f t="shared" si="1023"/>
        <v>1.8269274352463283</v>
      </c>
      <c r="FJ125" s="110">
        <f>IF(SeilBeregnet=0,"-",FJ$7*(FL:FL+FJ$6)*FO:FO*PropF+ErfaringsF+Dyp_F)</f>
        <v>0.92013414924116821</v>
      </c>
      <c r="FK125" s="144" t="str">
        <f t="shared" si="239"/>
        <v>-</v>
      </c>
      <c r="FL125" s="110">
        <f>(FM:FM*FN:FN)^FL$3</f>
        <v>5.6855995175425473</v>
      </c>
      <c r="FM125" s="136">
        <f t="shared" si="1024"/>
        <v>3.4506105455829963</v>
      </c>
      <c r="FN125" s="136">
        <f t="shared" si="1025"/>
        <v>1.6477082656634434</v>
      </c>
      <c r="FO125" s="110">
        <f t="shared" si="1026"/>
        <v>1.8269274352463283</v>
      </c>
      <c r="FQ125">
        <v>0.95</v>
      </c>
      <c r="FR125" s="64">
        <f t="shared" si="970"/>
        <v>1.1573649260008134</v>
      </c>
      <c r="FS125" s="479"/>
      <c r="FT125" s="18"/>
      <c r="FU125" s="481"/>
      <c r="FV125" s="504"/>
      <c r="FW125" s="18"/>
      <c r="FX125" s="18"/>
      <c r="FY125" s="18"/>
      <c r="FZ125" s="18"/>
      <c r="GB125" s="18"/>
      <c r="GC125" s="481"/>
      <c r="GD125" s="8"/>
      <c r="GE125" s="8"/>
      <c r="GF125" s="8"/>
      <c r="GG125" s="8"/>
      <c r="GI125" s="18"/>
      <c r="GJ125" s="18"/>
      <c r="GK125" s="18"/>
      <c r="GL125" s="18"/>
      <c r="GM125" s="18"/>
      <c r="GN125" s="18"/>
      <c r="GO125" s="18"/>
      <c r="GP125" s="18"/>
    </row>
    <row r="126" spans="1:198" ht="15.6" x14ac:dyDescent="0.3">
      <c r="A126" s="62" t="s">
        <v>33</v>
      </c>
      <c r="B126" s="223"/>
      <c r="C126" s="14" t="str">
        <f>C124</f>
        <v>Gaffel</v>
      </c>
      <c r="G126" s="56"/>
      <c r="H126" s="209">
        <f>TBFavrundet</f>
        <v>91.5</v>
      </c>
      <c r="I126" s="65">
        <f>COUNTA(O126:AD126)</f>
        <v>3</v>
      </c>
      <c r="J126" s="228">
        <f>SUM(O126:AD126)</f>
        <v>89.2</v>
      </c>
      <c r="K126" s="119">
        <f>Seilareal/Depl^0.667/K$7</f>
        <v>1.1648357000440557</v>
      </c>
      <c r="L126" s="119">
        <f>Seilareal/Lwl/Lwl/L$7</f>
        <v>1.0906149496281718</v>
      </c>
      <c r="M126" s="95">
        <f>RiggF</f>
        <v>0.824103139013453</v>
      </c>
      <c r="N126" s="265">
        <f>StHfaktor</f>
        <v>1.0006716684435335</v>
      </c>
      <c r="O126" s="147"/>
      <c r="P126" s="147"/>
      <c r="Q126" s="147"/>
      <c r="R126" s="169">
        <v>15.9</v>
      </c>
      <c r="S126" s="147"/>
      <c r="T126" s="169">
        <v>18.7</v>
      </c>
      <c r="U126" s="169">
        <v>54.6</v>
      </c>
      <c r="V126" s="148"/>
      <c r="W126" s="148"/>
      <c r="X126" s="148"/>
      <c r="Y126" s="147"/>
      <c r="Z126" s="147"/>
      <c r="AA126" s="147"/>
      <c r="AB126" s="147"/>
      <c r="AC126" s="147"/>
      <c r="AD126" s="147"/>
      <c r="AE126" s="260">
        <f t="shared" ref="AE126" si="1055">AE125</f>
        <v>11.2</v>
      </c>
      <c r="AF126" s="375">
        <f t="shared" si="1043"/>
        <v>0</v>
      </c>
      <c r="AG126" s="377"/>
      <c r="AH126" s="375">
        <f t="shared" si="1043"/>
        <v>0</v>
      </c>
      <c r="AI126" s="377"/>
      <c r="AJ126" s="295" t="str">
        <f t="shared" ref="AJ126" si="1056" xml:space="preserve"> AJ125</f>
        <v>Los</v>
      </c>
      <c r="AK126" s="47">
        <f>VLOOKUP(AJ126,Skrogform!$1:$1048576,3,FALSE)</f>
        <v>0.97</v>
      </c>
      <c r="AL126" s="66">
        <f t="shared" ref="AL126:AT126" si="1057">AL125</f>
        <v>11.81</v>
      </c>
      <c r="AM126" s="66">
        <f t="shared" si="1057"/>
        <v>11.14</v>
      </c>
      <c r="AN126" s="66">
        <f t="shared" si="1057"/>
        <v>4.3499999999999996</v>
      </c>
      <c r="AO126" s="66">
        <f t="shared" si="1057"/>
        <v>1.95</v>
      </c>
      <c r="AP126" s="66">
        <f t="shared" si="1057"/>
        <v>18.5</v>
      </c>
      <c r="AQ126" s="66">
        <f t="shared" si="1057"/>
        <v>3</v>
      </c>
      <c r="AR126" s="66">
        <f t="shared" si="1057"/>
        <v>2</v>
      </c>
      <c r="AS126" s="284">
        <f t="shared" si="1057"/>
        <v>70</v>
      </c>
      <c r="AT126" s="284">
        <f t="shared" si="1057"/>
        <v>350</v>
      </c>
      <c r="AU126" s="284">
        <f t="shared" ref="AU126:AV126" si="1058">AU125</f>
        <v>200</v>
      </c>
      <c r="AV126" s="284">
        <f t="shared" si="1058"/>
        <v>200</v>
      </c>
      <c r="AW126" s="284"/>
      <c r="AX126" s="284">
        <f>AX125</f>
        <v>0</v>
      </c>
      <c r="AY126" s="68"/>
      <c r="AZ126" s="68"/>
      <c r="BA126" s="289"/>
      <c r="BB126" s="68"/>
      <c r="BC126" s="179"/>
      <c r="BD126" s="68"/>
      <c r="BE126" s="68"/>
      <c r="BF126" s="67" t="str">
        <f t="shared" ref="BF126:BH126" si="1059" xml:space="preserve"> BF125</f>
        <v>Seilrett</v>
      </c>
      <c r="BG126" s="295">
        <f t="shared" si="1059"/>
        <v>3</v>
      </c>
      <c r="BH126" s="295">
        <f t="shared" si="1059"/>
        <v>75</v>
      </c>
      <c r="BI126" s="47">
        <f t="shared" si="853"/>
        <v>1</v>
      </c>
      <c r="BJ126" s="61"/>
      <c r="BK126" s="61"/>
      <c r="BM126" s="51">
        <f t="shared" si="1048"/>
        <v>0</v>
      </c>
      <c r="BN126" s="51">
        <f t="shared" si="1048"/>
        <v>0</v>
      </c>
      <c r="BO126" s="51">
        <f t="shared" si="1048"/>
        <v>0</v>
      </c>
      <c r="BP126" s="51">
        <f t="shared" si="1048"/>
        <v>15.9</v>
      </c>
      <c r="BQ126" s="51">
        <f t="shared" si="1048"/>
        <v>0</v>
      </c>
      <c r="BR126" s="51">
        <f t="shared" si="1048"/>
        <v>18.7</v>
      </c>
      <c r="BS126" s="52">
        <f>IF(COUNT(P126:T126)&gt;1,MINA(P126:T126)*BS$9,0)</f>
        <v>-4.7699999999999996</v>
      </c>
      <c r="BT126" s="88">
        <f t="shared" si="1049"/>
        <v>43.680000000000007</v>
      </c>
      <c r="BU126" s="88">
        <f t="shared" si="1049"/>
        <v>0</v>
      </c>
      <c r="BV126" s="88">
        <f t="shared" si="1049"/>
        <v>0</v>
      </c>
      <c r="BW126" s="88">
        <f t="shared" si="1049"/>
        <v>0</v>
      </c>
      <c r="BX126" s="88">
        <f t="shared" si="1049"/>
        <v>0</v>
      </c>
      <c r="BY126" s="88">
        <f t="shared" si="1049"/>
        <v>0</v>
      </c>
      <c r="BZ126" s="88">
        <f t="shared" si="1049"/>
        <v>0</v>
      </c>
      <c r="CA126" s="88">
        <f t="shared" si="1049"/>
        <v>0</v>
      </c>
      <c r="CB126" s="88">
        <f t="shared" si="1049"/>
        <v>0</v>
      </c>
      <c r="CC126" s="88">
        <f t="shared" si="1049"/>
        <v>0</v>
      </c>
      <c r="CD126" s="103">
        <f>SUM(BM126:CC126)</f>
        <v>73.510000000000005</v>
      </c>
      <c r="CE126" s="52"/>
      <c r="CF126" s="107">
        <f>J126</f>
        <v>89.2</v>
      </c>
      <c r="CG126" s="104">
        <f>CD126/CF126</f>
        <v>0.824103139013453</v>
      </c>
      <c r="CH126" s="53">
        <f>Seilareal/Lwl/Lwl</f>
        <v>0.71877749807412739</v>
      </c>
      <c r="CI126" s="119">
        <f>Seilareal/Depl^0.667/K$7</f>
        <v>1.1648357000440557</v>
      </c>
      <c r="CJ126" s="53">
        <f>Seilareal/Lwl/Lwl/SApRS1</f>
        <v>1.0906149496281718</v>
      </c>
      <c r="CK126" s="209"/>
      <c r="CL126" s="209">
        <f>(ROUND(TBF/CL$6,3)*CL$6)*CL$4</f>
        <v>91.5</v>
      </c>
      <c r="CM126" s="110">
        <f t="shared" si="690"/>
        <v>0.91262369819865907</v>
      </c>
      <c r="CN126" s="64">
        <f>IF(SeilBeregnet=0,"-",(SeilBeregnet)^(1/2)*StHfaktor/(Depl+DeplTillegg/1000+Vann/1000+Diesel/1000*0.84)^(1/3))</f>
        <v>3.2114150200331628</v>
      </c>
      <c r="CO126" s="64">
        <f t="shared" si="659"/>
        <v>1.6241708760111293</v>
      </c>
      <c r="CP126" s="64">
        <f t="shared" si="660"/>
        <v>1.8269274352463283</v>
      </c>
      <c r="CQ126" s="110">
        <f t="shared" si="661"/>
        <v>1.0006716684435335</v>
      </c>
      <c r="CR126" s="172" t="str">
        <f t="shared" si="965"/>
        <v>-</v>
      </c>
      <c r="CS126" s="162"/>
      <c r="CT126" s="172" t="str">
        <f t="shared" si="966"/>
        <v>-</v>
      </c>
      <c r="CU126" s="164"/>
      <c r="CV126" s="195" t="s">
        <v>145</v>
      </c>
      <c r="CW126" s="64">
        <v>0.87</v>
      </c>
      <c r="CX126" s="64">
        <v>0.86</v>
      </c>
      <c r="CY126" s="64">
        <v>0.88</v>
      </c>
      <c r="CZ126" s="154">
        <v>0.92</v>
      </c>
      <c r="DA126" s="64">
        <f t="shared" si="854"/>
        <v>2.0138686341547749</v>
      </c>
      <c r="DB126" s="49">
        <f t="shared" si="855"/>
        <v>11.825348696179502</v>
      </c>
      <c r="DC126" s="50">
        <f t="shared" si="856"/>
        <v>0</v>
      </c>
      <c r="DE126" s="110">
        <f>IF(SeilBeregnet=0,"-",DE$7*(DG:DG+DE$6)*DL:DL*PropF+ErfaringsF+Dyp_F)</f>
        <v>0.9022637020963763</v>
      </c>
      <c r="DF126" s="144" t="str">
        <f t="shared" si="1039"/>
        <v>-</v>
      </c>
      <c r="DG126" s="110">
        <f t="shared" si="858"/>
        <v>4.8897968298055279</v>
      </c>
      <c r="DH126" s="136">
        <f>IF(SeilBeregnet=0,DH125,(SeilBeregnet^0.5/(Depl^0.3333))^DH$3*DH$7)</f>
        <v>3.2420885641420849</v>
      </c>
      <c r="DI126" s="136">
        <f>IF(SeilBeregnet=0,DI125,(SeilBeregnet^0.5/Lwl)^DI$3*DI$7)</f>
        <v>0</v>
      </c>
      <c r="DJ126" s="136">
        <f>IF(SeilBeregnet=0,DJ125,(0.1*Loa/Depl^0.3333)^DJ$3*DJ$7)</f>
        <v>0</v>
      </c>
      <c r="DK126" s="136">
        <f>IF(SeilBeregnet=0,DK125,((Loa)/Bredde)^DK$3*DK$7)</f>
        <v>1.6477082656634434</v>
      </c>
      <c r="DL126" s="110">
        <f>IF(SeilBeregnet=0,DL125,(Lwl)^DL$3)</f>
        <v>1.8269274352463283</v>
      </c>
      <c r="DM126" s="136">
        <f>IF(SeilBeregnet=0,DM125,(Dypg/Loa)^DM$3*5*DM$7)</f>
        <v>2.0317130081956618</v>
      </c>
      <c r="DO126" s="110">
        <f t="shared" si="733"/>
        <v>0.94084917340067964</v>
      </c>
      <c r="DP126" s="110">
        <f t="shared" si="859"/>
        <v>0.89695107520159578</v>
      </c>
      <c r="DR126" s="110">
        <f t="shared" si="860"/>
        <v>0.88506515871645652</v>
      </c>
      <c r="DS126" s="125" t="str">
        <f t="shared" si="1040"/>
        <v>-</v>
      </c>
      <c r="DT126" s="110">
        <f t="shared" si="862"/>
        <v>0.91318260230065296</v>
      </c>
      <c r="DU126" s="125" t="str">
        <f t="shared" si="1041"/>
        <v>-</v>
      </c>
      <c r="DV126" s="110">
        <f t="shared" si="214"/>
        <v>3.2418047864285424</v>
      </c>
      <c r="DW126" s="110">
        <f t="shared" si="215"/>
        <v>2.2331959630580456</v>
      </c>
      <c r="DX126" s="110">
        <f t="shared" si="1007"/>
        <v>1.515560780855169</v>
      </c>
      <c r="DZ126" s="110">
        <f t="shared" si="864"/>
        <v>0.90579253188986619</v>
      </c>
      <c r="EB126" s="110">
        <f t="shared" si="217"/>
        <v>3.2418047864285424</v>
      </c>
      <c r="EC126" s="110">
        <f t="shared" si="1008"/>
        <v>2.2333574652932007</v>
      </c>
      <c r="ED126" s="110">
        <f t="shared" si="1009"/>
        <v>1.7407660223285584</v>
      </c>
      <c r="EE126" s="110">
        <f t="shared" si="865"/>
        <v>0.90926534008623239</v>
      </c>
      <c r="EG126" s="110">
        <f t="shared" si="1010"/>
        <v>4.9131521934996663</v>
      </c>
      <c r="EH126" s="110">
        <f t="shared" si="219"/>
        <v>3.2418047864285424</v>
      </c>
      <c r="EI126" s="110">
        <f t="shared" si="1011"/>
        <v>1.515560780855169</v>
      </c>
      <c r="EJ126" s="110">
        <f t="shared" si="1012"/>
        <v>1.8269274352463283</v>
      </c>
      <c r="EK126" s="110">
        <f>IF(SeilBeregnet=0,"-",EK$7*(EK$4*EM:EM+EK$6)*EP:EP*PropF+ErfaringsF+Dyp_F)</f>
        <v>0.90615643855479411</v>
      </c>
      <c r="EM126" s="110">
        <f>IF(SeilBeregnet=0,EM125,(EN:EN*EO:EO)^EM$3)</f>
        <v>1.7717857416033858</v>
      </c>
      <c r="EN126" s="110">
        <f t="shared" si="220"/>
        <v>3.2418047864285424</v>
      </c>
      <c r="EO126" s="110">
        <f t="shared" si="1013"/>
        <v>0.96835710999350633</v>
      </c>
      <c r="EP126" s="110">
        <f t="shared" si="1014"/>
        <v>1.83511310912736</v>
      </c>
      <c r="EQ126" s="110">
        <f>IF(SeilBeregnet=0,"-",EQ$7*(ES:ES+EQ$6)*EV:EV*PropF+ErfaringsF+Dyp_F)</f>
        <v>0.88975617406604501</v>
      </c>
      <c r="ES126" s="110">
        <f>(ET:ET*EU:EU)^ES$3</f>
        <v>1.7718632882690544</v>
      </c>
      <c r="ET126" s="110">
        <f t="shared" si="221"/>
        <v>3.2420885641420849</v>
      </c>
      <c r="EU126" s="110">
        <f t="shared" si="1015"/>
        <v>0.96835710999350633</v>
      </c>
      <c r="EV126" s="110">
        <f t="shared" si="1016"/>
        <v>1.83511310912736</v>
      </c>
      <c r="EW126" s="110">
        <f>IF(SeilBeregnet=0,"-",EW$7*(EY:EY+EW$6)*FB:FB*PropF+ErfaringsF+Dyp_F)</f>
        <v>0.88941200027537937</v>
      </c>
      <c r="EX126" s="144" t="str">
        <f t="shared" si="237"/>
        <v>-</v>
      </c>
      <c r="EY126" s="110">
        <f>(EZ:EZ*FA:FA)^EY$3</f>
        <v>3.0401566745719824</v>
      </c>
      <c r="EZ126" s="136">
        <f t="shared" si="1017"/>
        <v>3.2420885641420849</v>
      </c>
      <c r="FA126" s="136">
        <f t="shared" si="1018"/>
        <v>0.93771549247497576</v>
      </c>
      <c r="FB126" s="110">
        <f t="shared" si="1019"/>
        <v>1.0319599376608612</v>
      </c>
      <c r="FC126" s="110">
        <f>IF(SeilBeregnet=0,"-",FC$7*(FE:FE+FC$6)*FI:FI*PropF+ErfaringsF+Dyp_F)</f>
        <v>0.90488812379677319</v>
      </c>
      <c r="FD126" s="144" t="str">
        <f t="shared" si="238"/>
        <v>-</v>
      </c>
      <c r="FE126" s="110">
        <f>(FF:FF+FG:FG+FH:FH)^FE$3+FE$7</f>
        <v>5.1594375202677227</v>
      </c>
      <c r="FF126" s="136">
        <f t="shared" si="1020"/>
        <v>3.2420885641420849</v>
      </c>
      <c r="FG126" s="136">
        <f t="shared" si="1021"/>
        <v>0.76964069046219519</v>
      </c>
      <c r="FH126" s="136">
        <f t="shared" si="1022"/>
        <v>1.6477082656634434</v>
      </c>
      <c r="FI126" s="110">
        <f t="shared" si="1023"/>
        <v>1.8269274352463283</v>
      </c>
      <c r="FJ126" s="110">
        <f>IF(SeilBeregnet=0,"-",FJ$7*(FL:FL+FJ$6)*FO:FO*PropF+ErfaringsF+Dyp_F)</f>
        <v>0.88749364909659145</v>
      </c>
      <c r="FK126" s="144" t="str">
        <f t="shared" si="239"/>
        <v>-</v>
      </c>
      <c r="FL126" s="110">
        <f>(FM:FM*FN:FN)^FL$3</f>
        <v>5.3420161251498381</v>
      </c>
      <c r="FM126" s="136">
        <f t="shared" si="1024"/>
        <v>3.2420885641420849</v>
      </c>
      <c r="FN126" s="136">
        <f t="shared" si="1025"/>
        <v>1.6477082656634434</v>
      </c>
      <c r="FO126" s="110">
        <f t="shared" si="1026"/>
        <v>1.8269274352463283</v>
      </c>
      <c r="FQ126">
        <v>0.95</v>
      </c>
      <c r="FR126" s="64">
        <f t="shared" si="970"/>
        <v>1.1235188056645276</v>
      </c>
      <c r="FS126" s="479"/>
      <c r="FT126" s="18"/>
      <c r="FU126" s="481"/>
      <c r="FV126" s="504"/>
      <c r="FW126" s="18"/>
      <c r="FX126" s="18"/>
      <c r="FY126" s="18"/>
      <c r="FZ126" s="18"/>
      <c r="GB126" s="18"/>
      <c r="GC126" s="481"/>
      <c r="GD126" s="8"/>
      <c r="GE126" s="8"/>
      <c r="GF126" s="8"/>
      <c r="GG126" s="8"/>
      <c r="GI126" s="18"/>
      <c r="GJ126" s="18"/>
      <c r="GK126" s="18"/>
      <c r="GL126" s="18"/>
      <c r="GM126" s="18"/>
      <c r="GN126" s="18"/>
      <c r="GO126" s="18"/>
      <c r="GP126" s="18"/>
    </row>
    <row r="127" spans="1:198" ht="15.6" x14ac:dyDescent="0.3">
      <c r="A127" s="54" t="s">
        <v>227</v>
      </c>
      <c r="B127" s="223">
        <f t="shared" si="199"/>
        <v>37.99212598425197</v>
      </c>
      <c r="C127" s="55" t="s">
        <v>22</v>
      </c>
      <c r="D127" s="55"/>
      <c r="E127" s="55"/>
      <c r="F127" s="55"/>
      <c r="G127" s="56"/>
      <c r="H127" s="209"/>
      <c r="I127" s="126" t="str">
        <f>A127</f>
        <v>Los West Wind</v>
      </c>
      <c r="J127" s="229"/>
      <c r="K127" s="119"/>
      <c r="L127" s="119"/>
      <c r="M127" s="95"/>
      <c r="N127" s="265"/>
      <c r="O127" s="169"/>
      <c r="P127" s="169"/>
      <c r="Q127" s="169">
        <v>21</v>
      </c>
      <c r="R127" s="169"/>
      <c r="S127" s="169"/>
      <c r="T127" s="169">
        <v>17</v>
      </c>
      <c r="U127" s="169">
        <v>37</v>
      </c>
      <c r="V127" s="181">
        <f>StorS-StorS/6</f>
        <v>30.833333333333332</v>
      </c>
      <c r="W127" s="181">
        <f>StorS-StorS/6*1.9</f>
        <v>25.283333333333331</v>
      </c>
      <c r="X127" s="169"/>
      <c r="Y127" s="169">
        <v>11</v>
      </c>
      <c r="Z127" s="169"/>
      <c r="AA127" s="169"/>
      <c r="AB127" s="169"/>
      <c r="AC127" s="169"/>
      <c r="AD127" s="169"/>
      <c r="AE127" s="270">
        <v>9.5</v>
      </c>
      <c r="AF127" s="296"/>
      <c r="AG127" s="377"/>
      <c r="AH127" s="296"/>
      <c r="AI127" s="377"/>
      <c r="AJ127" s="296" t="s">
        <v>229</v>
      </c>
      <c r="AK127" s="47">
        <f>VLOOKUP(AJ127,Skrogform!$1:$1048576,3,FALSE)</f>
        <v>0.97</v>
      </c>
      <c r="AL127" s="57">
        <v>11.58</v>
      </c>
      <c r="AM127" s="57">
        <v>10.5</v>
      </c>
      <c r="AN127" s="57">
        <v>3.95</v>
      </c>
      <c r="AO127" s="57">
        <v>1.7</v>
      </c>
      <c r="AP127" s="175">
        <v>15</v>
      </c>
      <c r="AQ127" s="57">
        <v>2</v>
      </c>
      <c r="AR127" s="57">
        <v>2</v>
      </c>
      <c r="AS127" s="281"/>
      <c r="AT127" s="282">
        <v>350</v>
      </c>
      <c r="AU127" s="281">
        <f>ROUND(Depl*10,-2)</f>
        <v>200</v>
      </c>
      <c r="AV127" s="281">
        <f>ROUND(Depl*10,-2)</f>
        <v>200</v>
      </c>
      <c r="AW127" s="270">
        <f>Depl+Diesel/1000+Vann/1000</f>
        <v>15.399999999999999</v>
      </c>
      <c r="AX127" s="281"/>
      <c r="AY127" s="98">
        <f>Bredde/(Loa+Lwl)*2</f>
        <v>0.3577898550724638</v>
      </c>
      <c r="AZ127" s="98">
        <f>(Kjøl+Ballast)/Depl</f>
        <v>0.26666666666666666</v>
      </c>
      <c r="BA127" s="288">
        <f>BA$7*((Depl-Kjøl-Ballast-VektMotor/1000-VektAnnet/1000)/Loa/Lwl/Bredde)</f>
        <v>0.9594465087923949</v>
      </c>
      <c r="BB127" s="98">
        <f>BB$7*(Depl/Loa/Lwl/Lwl)</f>
        <v>0.88225120649930699</v>
      </c>
      <c r="BC127" s="178">
        <f>BC$7*(Depl/Loa/Lwl/Bredde)</f>
        <v>0.86687559431946781</v>
      </c>
      <c r="BD127" s="98">
        <f>BD$7*Bredde/(Loa+Lwl)*2</f>
        <v>1.0206628876422004</v>
      </c>
      <c r="BE127" s="98">
        <f>BE$7*(Dypg/Lwl)</f>
        <v>0.8855486542443064</v>
      </c>
      <c r="BF127" s="58" t="s">
        <v>24</v>
      </c>
      <c r="BG127" s="296">
        <v>3</v>
      </c>
      <c r="BH127" s="296"/>
      <c r="BI127" s="47">
        <f t="shared" si="853"/>
        <v>1</v>
      </c>
      <c r="BJ127" s="61"/>
      <c r="BK127" s="61"/>
      <c r="BM127" s="214"/>
      <c r="BN127" s="214" t="str">
        <f>$A127</f>
        <v>Los West Wind</v>
      </c>
      <c r="BO127" s="10"/>
      <c r="BP127" s="10"/>
      <c r="BQ127" s="10"/>
      <c r="BR127" s="10"/>
      <c r="BS127" s="52"/>
      <c r="BT127" s="214" t="str">
        <f>$A127</f>
        <v>Los West Wind</v>
      </c>
      <c r="BU127" s="10"/>
      <c r="BV127" s="10"/>
      <c r="BW127" s="10"/>
      <c r="BX127" s="10"/>
      <c r="BY127" s="10"/>
      <c r="BZ127" s="10"/>
      <c r="CA127" s="10"/>
      <c r="CB127" s="10"/>
      <c r="CC127" s="10"/>
      <c r="CD127" s="214"/>
      <c r="CE127" s="10"/>
      <c r="CF127" s="214" t="str">
        <f>$A127</f>
        <v>Los West Wind</v>
      </c>
      <c r="CG127" s="212"/>
      <c r="CH127" s="212"/>
      <c r="CI127" s="119"/>
      <c r="CJ127" s="212"/>
      <c r="CK127" s="208"/>
      <c r="CL127" s="208" t="s">
        <v>26</v>
      </c>
      <c r="CM127" s="110" t="str">
        <f t="shared" si="690"/>
        <v>-</v>
      </c>
      <c r="CN127" s="64" t="str">
        <f>IF(SeilBeregnet=0,"-",(SeilBeregnet)^(1/2)*StHfaktor/(Depl+DeplTillegg/1000+Vann/1000+Diesel/1000*0.84)^(1/3))</f>
        <v>-</v>
      </c>
      <c r="CO127" s="64" t="str">
        <f t="shared" si="659"/>
        <v>-</v>
      </c>
      <c r="CP127" s="64" t="str">
        <f t="shared" si="660"/>
        <v>-</v>
      </c>
      <c r="CQ127" s="110" t="str">
        <f t="shared" si="661"/>
        <v>-</v>
      </c>
      <c r="CR127" s="172" t="str">
        <f t="shared" si="965"/>
        <v>-</v>
      </c>
      <c r="CS127" s="162"/>
      <c r="CT127" s="172" t="str">
        <f t="shared" si="966"/>
        <v>-</v>
      </c>
      <c r="CU127" s="164">
        <v>1.19</v>
      </c>
      <c r="CV127" s="195" t="s">
        <v>145</v>
      </c>
      <c r="CW127" s="30" t="s">
        <v>26</v>
      </c>
      <c r="CX127" s="30" t="s">
        <v>26</v>
      </c>
      <c r="CY127" s="30" t="s">
        <v>26</v>
      </c>
      <c r="CZ127" s="153">
        <v>2022</v>
      </c>
      <c r="DA127" s="64" t="str">
        <f t="shared" si="854"/>
        <v>-</v>
      </c>
      <c r="DB127" s="49">
        <f t="shared" si="855"/>
        <v>11.003236245954692</v>
      </c>
      <c r="DC127" s="50">
        <f t="shared" si="856"/>
        <v>0</v>
      </c>
      <c r="DE127" s="110" t="str">
        <f>IF(SeilBeregnet=0,"-",DE$7*(DG:DG+DE$6)*DL:DL*PropF+ErfaringsF+Dyp_F)</f>
        <v>-</v>
      </c>
      <c r="DF127" s="144" t="str">
        <f t="shared" si="248"/>
        <v>-</v>
      </c>
      <c r="DG127" s="110" t="e">
        <f t="shared" si="858"/>
        <v>#REF!</v>
      </c>
      <c r="DH127" s="136" t="e">
        <f>IF(SeilBeregnet=0,#REF!,(SeilBeregnet^0.5/(Depl^0.3333))^DH$3*DH$7)</f>
        <v>#REF!</v>
      </c>
      <c r="DI127" s="136" t="e">
        <f>IF(SeilBeregnet=0,#REF!,(SeilBeregnet^0.5/Lwl)^DI$3*DI$7)</f>
        <v>#REF!</v>
      </c>
      <c r="DJ127" s="136" t="e">
        <f>IF(SeilBeregnet=0,#REF!,(0.1*Loa/Depl^0.3333)^DJ$3*DJ$7)</f>
        <v>#REF!</v>
      </c>
      <c r="DK127" s="136" t="e">
        <f>IF(SeilBeregnet=0,#REF!,((Loa)/Bredde)^DK$3*DK$7)</f>
        <v>#REF!</v>
      </c>
      <c r="DL127" s="110" t="e">
        <f>IF(SeilBeregnet=0,#REF!,(Lwl)^DL$3)</f>
        <v>#REF!</v>
      </c>
      <c r="DM127" s="136" t="e">
        <f>IF(SeilBeregnet=0,#REF!,(Dypg/Loa)^DM$3*5*DM$7)</f>
        <v>#REF!</v>
      </c>
      <c r="DO127" s="110" t="str">
        <f t="shared" si="258"/>
        <v>-</v>
      </c>
      <c r="DP127" s="110" t="str">
        <f t="shared" si="859"/>
        <v>-</v>
      </c>
      <c r="DR127" s="110" t="str">
        <f t="shared" si="860"/>
        <v>-</v>
      </c>
      <c r="DS127" s="125" t="str">
        <f t="shared" si="249"/>
        <v>-</v>
      </c>
      <c r="DT127" s="110" t="str">
        <f t="shared" si="862"/>
        <v>-</v>
      </c>
      <c r="DU127" s="125" t="str">
        <f t="shared" si="250"/>
        <v>-</v>
      </c>
      <c r="DV127" s="110">
        <f t="shared" si="214"/>
        <v>3.2418047864285424</v>
      </c>
      <c r="DW127" s="110">
        <f t="shared" si="215"/>
        <v>2.2331959630580456</v>
      </c>
      <c r="DX127" s="110">
        <f t="shared" si="1007"/>
        <v>1.515560780855169</v>
      </c>
      <c r="DZ127" s="110" t="str">
        <f t="shared" si="864"/>
        <v>-</v>
      </c>
      <c r="EB127" s="110">
        <f t="shared" si="217"/>
        <v>3.2418047864285424</v>
      </c>
      <c r="EC127" s="110">
        <f t="shared" si="1008"/>
        <v>2.2333574652932007</v>
      </c>
      <c r="ED127" s="110">
        <f t="shared" si="1009"/>
        <v>1.7407660223285584</v>
      </c>
      <c r="EE127" s="110" t="str">
        <f t="shared" si="865"/>
        <v>-</v>
      </c>
      <c r="EG127" s="110">
        <f t="shared" si="1010"/>
        <v>4.9131521934996663</v>
      </c>
      <c r="EH127" s="110">
        <f t="shared" si="219"/>
        <v>3.2418047864285424</v>
      </c>
      <c r="EI127" s="110">
        <f t="shared" si="1011"/>
        <v>1.515560780855169</v>
      </c>
      <c r="EJ127" s="110">
        <f t="shared" si="1012"/>
        <v>1.8269274352463283</v>
      </c>
      <c r="EK127" s="110" t="str">
        <f>IF(SeilBeregnet=0,"-",EK$7*(EK$4*EM:EM+EK$6)*EP:EP*PropF+ErfaringsF+Dyp_F)</f>
        <v>-</v>
      </c>
      <c r="EM127" s="110">
        <f>IF(SeilBeregnet=0,EM126,(EN:EN*EO:EO)^EM$3)</f>
        <v>1.7717857416033858</v>
      </c>
      <c r="EN127" s="110">
        <f t="shared" si="220"/>
        <v>3.2418047864285424</v>
      </c>
      <c r="EO127" s="110">
        <f t="shared" si="1013"/>
        <v>0.96835710999350633</v>
      </c>
      <c r="EP127" s="110">
        <f t="shared" si="1014"/>
        <v>1.83511310912736</v>
      </c>
      <c r="EQ127" s="110" t="str">
        <f>IF(SeilBeregnet=0,"-",EQ$7*(ES:ES+EQ$6)*EV:EV*PropF+ErfaringsF+Dyp_F)</f>
        <v>-</v>
      </c>
      <c r="ES127" s="110">
        <f>(ET:ET*EU:EU)^ES$3</f>
        <v>1.7718632882690544</v>
      </c>
      <c r="ET127" s="110">
        <f t="shared" si="221"/>
        <v>3.2420885641420849</v>
      </c>
      <c r="EU127" s="110">
        <f t="shared" si="1015"/>
        <v>0.96835710999350633</v>
      </c>
      <c r="EV127" s="110">
        <f t="shared" si="1016"/>
        <v>1.83511310912736</v>
      </c>
      <c r="EW127" s="110" t="str">
        <f>IF(SeilBeregnet=0,"-",EW$7*(EY:EY+EW$6)*FB:FB*PropF+ErfaringsF+Dyp_F)</f>
        <v>-</v>
      </c>
      <c r="EX127" s="144" t="str">
        <f t="shared" si="237"/>
        <v>-</v>
      </c>
      <c r="EY127" s="110">
        <f>(EZ:EZ*FA:FA)^EY$3</f>
        <v>3.0401566745719824</v>
      </c>
      <c r="EZ127" s="136">
        <f t="shared" si="1017"/>
        <v>3.2420885641420849</v>
      </c>
      <c r="FA127" s="136">
        <f t="shared" si="1018"/>
        <v>0.93771549247497576</v>
      </c>
      <c r="FB127" s="110">
        <f t="shared" si="1019"/>
        <v>1.0319599376608612</v>
      </c>
      <c r="FC127" s="110" t="str">
        <f>IF(SeilBeregnet=0,"-",FC$7*(FE:FE+FC$6)*FI:FI*PropF+ErfaringsF+Dyp_F)</f>
        <v>-</v>
      </c>
      <c r="FD127" s="144" t="str">
        <f t="shared" si="238"/>
        <v>-</v>
      </c>
      <c r="FE127" s="110">
        <f>(FF:FF+FG:FG+FH:FH)^FE$3+FE$7</f>
        <v>5.1594375202677227</v>
      </c>
      <c r="FF127" s="136">
        <f t="shared" si="1020"/>
        <v>3.2420885641420849</v>
      </c>
      <c r="FG127" s="136">
        <f t="shared" si="1021"/>
        <v>0.76964069046219519</v>
      </c>
      <c r="FH127" s="136">
        <f t="shared" si="1022"/>
        <v>1.6477082656634434</v>
      </c>
      <c r="FI127" s="110">
        <f t="shared" si="1023"/>
        <v>1.8269274352463283</v>
      </c>
      <c r="FJ127" s="110" t="str">
        <f>IF(SeilBeregnet=0,"-",FJ$7*(FL:FL+FJ$6)*FO:FO*PropF+ErfaringsF+Dyp_F)</f>
        <v>-</v>
      </c>
      <c r="FK127" s="144" t="str">
        <f t="shared" si="239"/>
        <v>-</v>
      </c>
      <c r="FL127" s="110">
        <f>(FM:FM*FN:FN)^FL$3</f>
        <v>5.3420161251498381</v>
      </c>
      <c r="FM127" s="136">
        <f t="shared" si="1024"/>
        <v>3.2420885641420849</v>
      </c>
      <c r="FN127" s="136">
        <f t="shared" si="1025"/>
        <v>1.6477082656634434</v>
      </c>
      <c r="FO127" s="110">
        <f t="shared" si="1026"/>
        <v>1.8269274352463283</v>
      </c>
      <c r="FQ127">
        <v>0.95</v>
      </c>
      <c r="FR127" s="64" t="str">
        <f t="shared" si="970"/>
        <v>-</v>
      </c>
      <c r="FS127" s="480"/>
      <c r="FT127" s="59"/>
      <c r="FU127" s="475"/>
      <c r="FV127" s="77"/>
      <c r="FW127" s="59"/>
      <c r="FX127" s="59"/>
      <c r="FY127" s="59"/>
      <c r="FZ127" s="59"/>
      <c r="GB127" s="59" t="s">
        <v>522</v>
      </c>
      <c r="GC127" s="475" t="s">
        <v>522</v>
      </c>
      <c r="GD127" s="60" t="s">
        <v>522</v>
      </c>
      <c r="GE127" s="60" t="s">
        <v>522</v>
      </c>
      <c r="GF127" s="60" t="s">
        <v>522</v>
      </c>
      <c r="GG127" s="60" t="s">
        <v>522</v>
      </c>
      <c r="GI127" s="59"/>
      <c r="GJ127" s="59"/>
      <c r="GK127" s="59"/>
      <c r="GL127" s="59"/>
      <c r="GM127" s="59"/>
      <c r="GN127" s="59"/>
      <c r="GO127" s="59"/>
      <c r="GP127" s="59"/>
    </row>
    <row r="128" spans="1:198" ht="15.6" x14ac:dyDescent="0.3">
      <c r="A128" s="62" t="s">
        <v>31</v>
      </c>
      <c r="B128" s="223"/>
      <c r="C128" s="63" t="str">
        <f>C127</f>
        <v>Gaffel</v>
      </c>
      <c r="D128" s="63"/>
      <c r="E128" s="63"/>
      <c r="F128" s="63"/>
      <c r="G128" s="56"/>
      <c r="H128" s="209">
        <f>TBFavrundet</f>
        <v>91.5</v>
      </c>
      <c r="I128" s="65">
        <f>COUNTA(O128:AD128)</f>
        <v>4</v>
      </c>
      <c r="J128" s="228">
        <f>SUM(O128:AD128)</f>
        <v>86</v>
      </c>
      <c r="K128" s="119">
        <f>Seilareal/Depl^0.667/K$7</f>
        <v>1.2916621765340808</v>
      </c>
      <c r="L128" s="119">
        <f>Seilareal/Lwl/Lwl/L$7</f>
        <v>1.1835778443048677</v>
      </c>
      <c r="M128" s="95">
        <f>RiggF</f>
        <v>0.79069767441860461</v>
      </c>
      <c r="N128" s="265">
        <f>StHfaktor</f>
        <v>0.9875674978203548</v>
      </c>
      <c r="O128" s="147"/>
      <c r="P128" s="147"/>
      <c r="Q128" s="169">
        <v>21</v>
      </c>
      <c r="R128" s="147"/>
      <c r="S128" s="147"/>
      <c r="T128" s="169">
        <v>17</v>
      </c>
      <c r="U128" s="169">
        <v>37</v>
      </c>
      <c r="V128" s="148"/>
      <c r="W128" s="148"/>
      <c r="X128" s="148"/>
      <c r="Y128" s="169">
        <v>11</v>
      </c>
      <c r="Z128" s="147"/>
      <c r="AA128" s="147"/>
      <c r="AB128" s="147"/>
      <c r="AC128" s="147"/>
      <c r="AD128" s="147"/>
      <c r="AE128" s="260">
        <f t="shared" ref="AE128" si="1060">AE127</f>
        <v>9.5</v>
      </c>
      <c r="AF128" s="375">
        <f t="shared" si="1043"/>
        <v>0</v>
      </c>
      <c r="AG128" s="377"/>
      <c r="AH128" s="375">
        <f t="shared" si="1043"/>
        <v>0</v>
      </c>
      <c r="AI128" s="377"/>
      <c r="AJ128" s="295" t="str">
        <f t="shared" ref="AJ128" si="1061" xml:space="preserve"> AJ127</f>
        <v>Los</v>
      </c>
      <c r="AK128" s="47">
        <f>VLOOKUP(AJ128,Skrogform!$1:$1048576,3,FALSE)</f>
        <v>0.97</v>
      </c>
      <c r="AL128" s="66">
        <f t="shared" ref="AL128:AT128" si="1062">AL127</f>
        <v>11.58</v>
      </c>
      <c r="AM128" s="66">
        <f t="shared" si="1062"/>
        <v>10.5</v>
      </c>
      <c r="AN128" s="66">
        <f t="shared" si="1062"/>
        <v>3.95</v>
      </c>
      <c r="AO128" s="66">
        <f t="shared" si="1062"/>
        <v>1.7</v>
      </c>
      <c r="AP128" s="66">
        <f t="shared" si="1062"/>
        <v>15</v>
      </c>
      <c r="AQ128" s="66">
        <f t="shared" si="1062"/>
        <v>2</v>
      </c>
      <c r="AR128" s="66">
        <f t="shared" si="1062"/>
        <v>2</v>
      </c>
      <c r="AS128" s="284">
        <f t="shared" si="1062"/>
        <v>0</v>
      </c>
      <c r="AT128" s="284">
        <f t="shared" si="1062"/>
        <v>350</v>
      </c>
      <c r="AU128" s="284">
        <f t="shared" ref="AU128:AV128" si="1063">AU127</f>
        <v>200</v>
      </c>
      <c r="AV128" s="284">
        <f t="shared" si="1063"/>
        <v>200</v>
      </c>
      <c r="AW128" s="284"/>
      <c r="AX128" s="284">
        <f>AX127</f>
        <v>0</v>
      </c>
      <c r="AY128" s="68"/>
      <c r="AZ128" s="68"/>
      <c r="BA128" s="289"/>
      <c r="BB128" s="68"/>
      <c r="BC128" s="179"/>
      <c r="BD128" s="68"/>
      <c r="BE128" s="68"/>
      <c r="BF128" s="67" t="str">
        <f t="shared" ref="BF128:BH128" si="1064" xml:space="preserve"> BF127</f>
        <v>Seilrett</v>
      </c>
      <c r="BG128" s="295">
        <f t="shared" si="1064"/>
        <v>3</v>
      </c>
      <c r="BH128" s="295">
        <f t="shared" si="1064"/>
        <v>0</v>
      </c>
      <c r="BI128" s="47">
        <f t="shared" si="853"/>
        <v>1</v>
      </c>
      <c r="BJ128" s="61"/>
      <c r="BK128" s="61"/>
      <c r="BM128" s="51">
        <f t="shared" ref="BM128:BR130" si="1065">IF(O128=0,0,O128*BM$9)</f>
        <v>0</v>
      </c>
      <c r="BN128" s="51">
        <f t="shared" si="1065"/>
        <v>0</v>
      </c>
      <c r="BO128" s="51">
        <f t="shared" si="1065"/>
        <v>21</v>
      </c>
      <c r="BP128" s="51">
        <f t="shared" si="1065"/>
        <v>0</v>
      </c>
      <c r="BQ128" s="51">
        <f t="shared" si="1065"/>
        <v>0</v>
      </c>
      <c r="BR128" s="51">
        <f t="shared" si="1065"/>
        <v>17</v>
      </c>
      <c r="BS128" s="52">
        <f>IF(COUNT(P128:T128)&gt;1,MINA(P128:T128)*BS$9,0)</f>
        <v>-5.0999999999999996</v>
      </c>
      <c r="BT128" s="88">
        <f t="shared" ref="BT128:CC130" si="1066">IF(U128=0,0,U128*BT$9)</f>
        <v>29.6</v>
      </c>
      <c r="BU128" s="88">
        <f t="shared" si="1066"/>
        <v>0</v>
      </c>
      <c r="BV128" s="88">
        <f t="shared" si="1066"/>
        <v>0</v>
      </c>
      <c r="BW128" s="88">
        <f t="shared" si="1066"/>
        <v>0</v>
      </c>
      <c r="BX128" s="88">
        <f t="shared" si="1066"/>
        <v>5.5</v>
      </c>
      <c r="BY128" s="88">
        <f t="shared" si="1066"/>
        <v>0</v>
      </c>
      <c r="BZ128" s="88">
        <f t="shared" si="1066"/>
        <v>0</v>
      </c>
      <c r="CA128" s="88">
        <f t="shared" si="1066"/>
        <v>0</v>
      </c>
      <c r="CB128" s="88">
        <f t="shared" si="1066"/>
        <v>0</v>
      </c>
      <c r="CC128" s="88">
        <f t="shared" si="1066"/>
        <v>0</v>
      </c>
      <c r="CD128" s="103">
        <f>SUM(BM128:CC128)</f>
        <v>68</v>
      </c>
      <c r="CE128" s="52"/>
      <c r="CF128" s="107">
        <f>J128</f>
        <v>86</v>
      </c>
      <c r="CG128" s="104">
        <f>CD128/CF128</f>
        <v>0.79069767441860461</v>
      </c>
      <c r="CH128" s="53">
        <f>Seilareal/Lwl/Lwl</f>
        <v>0.78004535147392284</v>
      </c>
      <c r="CI128" s="119">
        <f>Seilareal/Depl^0.667/K$7</f>
        <v>1.2916621765340808</v>
      </c>
      <c r="CJ128" s="53">
        <f>Seilareal/Lwl/Lwl/SApRS1</f>
        <v>1.1835778443048677</v>
      </c>
      <c r="CK128" s="209"/>
      <c r="CL128" s="209">
        <f>(ROUND(TBF/CL$6,3)*CL$6)*CL$4</f>
        <v>91.5</v>
      </c>
      <c r="CM128" s="110">
        <f t="shared" si="690"/>
        <v>0.91738593649476441</v>
      </c>
      <c r="CN128" s="64">
        <f>IF(SeilBeregnet=0,"-",(SeilBeregnet)^(1/2)*StHfaktor/(Depl+DeplTillegg/1000+Vann/1000+Diesel/1000*0.84)^(1/3))</f>
        <v>3.2614468364608298</v>
      </c>
      <c r="CO128" s="64">
        <f t="shared" si="659"/>
        <v>1.6718064208695813</v>
      </c>
      <c r="CP128" s="64">
        <f t="shared" si="660"/>
        <v>1.800102871839254</v>
      </c>
      <c r="CQ128" s="110">
        <f t="shared" si="661"/>
        <v>0.9875674978203548</v>
      </c>
      <c r="CR128" s="172" t="str">
        <f t="shared" si="965"/>
        <v>-</v>
      </c>
      <c r="CS128" s="163">
        <f>CS127</f>
        <v>0</v>
      </c>
      <c r="CT128" s="172">
        <f t="shared" si="966"/>
        <v>0.91859649122807019</v>
      </c>
      <c r="CU128" s="163">
        <f>CU127</f>
        <v>1.19</v>
      </c>
      <c r="CV128" s="195" t="s">
        <v>145</v>
      </c>
      <c r="CW128" s="64">
        <v>0.9</v>
      </c>
      <c r="CX128" s="64">
        <v>0.88</v>
      </c>
      <c r="CY128" s="64">
        <v>0.92</v>
      </c>
      <c r="CZ128" s="154" t="s">
        <v>111</v>
      </c>
      <c r="DA128" s="64">
        <f t="shared" si="854"/>
        <v>1.9315295957092926</v>
      </c>
      <c r="DB128" s="49">
        <f t="shared" si="855"/>
        <v>11.003236245954692</v>
      </c>
      <c r="DC128" s="50">
        <f t="shared" si="856"/>
        <v>0</v>
      </c>
      <c r="DE128" s="110">
        <f>IF(SeilBeregnet=0,"-",DE$7*(DG:DG+DE$6)*DL:DL*PropF+ErfaringsF+Dyp_F)</f>
        <v>0.91926634202033086</v>
      </c>
      <c r="DF128" s="144" t="str">
        <f t="shared" si="248"/>
        <v>-</v>
      </c>
      <c r="DG128" s="110">
        <f t="shared" si="858"/>
        <v>5.0561815622219095</v>
      </c>
      <c r="DH128" s="136">
        <f>IF(SeilBeregnet=0,DH127,(SeilBeregnet^0.5/(Depl^0.3333))^DH$3*DH$7)</f>
        <v>3.3439766768123822</v>
      </c>
      <c r="DI128" s="136">
        <f>IF(SeilBeregnet=0,DI127,(SeilBeregnet^0.5/Lwl)^DI$3*DI$7)</f>
        <v>0</v>
      </c>
      <c r="DJ128" s="136">
        <f>IF(SeilBeregnet=0,DJ127,(0.1*Loa/Depl^0.3333)^DJ$3*DJ$7)</f>
        <v>0</v>
      </c>
      <c r="DK128" s="136">
        <f>IF(SeilBeregnet=0,DK127,((Loa)/Bredde)^DK$3*DK$7)</f>
        <v>1.7122048854095275</v>
      </c>
      <c r="DL128" s="110">
        <f>IF(SeilBeregnet=0,DL127,(Lwl)^DL$3)</f>
        <v>1.800102871839254</v>
      </c>
      <c r="DM128" s="136">
        <f>IF(SeilBeregnet=0,DM127,(Dypg/Loa)^DM$3*5*DM$7)</f>
        <v>1.9157559599542351</v>
      </c>
      <c r="DO128" s="110">
        <f t="shared" si="258"/>
        <v>0.94575869741728302</v>
      </c>
      <c r="DP128" s="110">
        <f t="shared" si="859"/>
        <v>0.91166745619679201</v>
      </c>
      <c r="DR128" s="110">
        <f t="shared" si="860"/>
        <v>0.90232484979532046</v>
      </c>
      <c r="DS128" s="125" t="str">
        <f t="shared" si="249"/>
        <v>-</v>
      </c>
      <c r="DT128" s="110">
        <f t="shared" si="862"/>
        <v>0.93107018461744262</v>
      </c>
      <c r="DU128" s="125" t="str">
        <f t="shared" si="250"/>
        <v>-</v>
      </c>
      <c r="DV128" s="110">
        <f t="shared" si="214"/>
        <v>3.3437050181461472</v>
      </c>
      <c r="DW128" s="110">
        <f t="shared" si="215"/>
        <v>2.1895879451208748</v>
      </c>
      <c r="DX128" s="110">
        <f t="shared" si="1007"/>
        <v>1.5376252189841919</v>
      </c>
      <c r="DZ128" s="110">
        <f t="shared" si="864"/>
        <v>0.92479525506210081</v>
      </c>
      <c r="EB128" s="110">
        <f t="shared" si="217"/>
        <v>3.3437050181461472</v>
      </c>
      <c r="EC128" s="110">
        <f t="shared" si="1008"/>
        <v>2.1897424068563001</v>
      </c>
      <c r="ED128" s="110">
        <f t="shared" si="1009"/>
        <v>1.7746351436830421</v>
      </c>
      <c r="EE128" s="110">
        <f t="shared" si="865"/>
        <v>0.92549011877414555</v>
      </c>
      <c r="EG128" s="110">
        <f t="shared" si="1010"/>
        <v>5.1413651607455106</v>
      </c>
      <c r="EH128" s="110">
        <f t="shared" si="219"/>
        <v>3.3437050181461472</v>
      </c>
      <c r="EI128" s="110">
        <f t="shared" si="1011"/>
        <v>1.5376252189841919</v>
      </c>
      <c r="EJ128" s="110">
        <f t="shared" si="1012"/>
        <v>1.800102871839254</v>
      </c>
      <c r="EK128" s="110">
        <f>IF(SeilBeregnet=0,"-",EK$7*(EK$4*EM:EM+EK$6)*EP:EP*PropF+ErfaringsF+Dyp_F)</f>
        <v>0.92429801625746066</v>
      </c>
      <c r="EM128" s="110">
        <f>IF(SeilBeregnet=0,EM127,(EN:EN*EO:EO)^EM$3)</f>
        <v>1.8124678799554965</v>
      </c>
      <c r="EN128" s="110">
        <f t="shared" si="220"/>
        <v>3.3437050181461472</v>
      </c>
      <c r="EO128" s="110">
        <f t="shared" si="1013"/>
        <v>0.98245503058511408</v>
      </c>
      <c r="EP128" s="110">
        <f t="shared" si="1014"/>
        <v>1.813831525361854</v>
      </c>
      <c r="EQ128" s="110">
        <f>IF(SeilBeregnet=0,"-",EQ$7*(ES:ES+EQ$6)*EV:EV*PropF+ErfaringsF+Dyp_F)</f>
        <v>0.89962780298492018</v>
      </c>
      <c r="ES128" s="110">
        <f>(ET:ET*EU:EU)^ES$3</f>
        <v>1.8125415052609464</v>
      </c>
      <c r="ET128" s="110">
        <f t="shared" si="221"/>
        <v>3.3439766768123822</v>
      </c>
      <c r="EU128" s="110">
        <f t="shared" si="1015"/>
        <v>0.98245503058511408</v>
      </c>
      <c r="EV128" s="110">
        <f t="shared" si="1016"/>
        <v>1.813831525361854</v>
      </c>
      <c r="EW128" s="110">
        <f>IF(SeilBeregnet=0,"-",EW$7*(EY:EY+EW$6)*FB:FB*PropF+ErfaringsF+Dyp_F)</f>
        <v>0.91180274887292045</v>
      </c>
      <c r="EX128" s="144" t="str">
        <f t="shared" si="237"/>
        <v>-</v>
      </c>
      <c r="EY128" s="110">
        <f>(EZ:EZ*FA:FA)^EY$3</f>
        <v>3.2276661025780862</v>
      </c>
      <c r="EZ128" s="136">
        <f t="shared" si="1017"/>
        <v>3.3439766768123822</v>
      </c>
      <c r="FA128" s="136">
        <f t="shared" si="1018"/>
        <v>0.96521788712199752</v>
      </c>
      <c r="FB128" s="110">
        <f t="shared" si="1019"/>
        <v>1.0199924236440172</v>
      </c>
      <c r="FC128" s="110">
        <f>IF(SeilBeregnet=0,"-",FC$7*(FE:FE+FC$6)*FI:FI*PropF+ErfaringsF+Dyp_F)</f>
        <v>0.92307000192271926</v>
      </c>
      <c r="FD128" s="144" t="str">
        <f t="shared" si="238"/>
        <v>-</v>
      </c>
      <c r="FE128" s="110">
        <f>(FF:FF+FG:FG+FH:FH)^FE$3+FE$7</f>
        <v>5.3415350147205123</v>
      </c>
      <c r="FF128" s="136">
        <f t="shared" si="1020"/>
        <v>3.3439766768123822</v>
      </c>
      <c r="FG128" s="136">
        <f t="shared" si="1021"/>
        <v>0.785353452498602</v>
      </c>
      <c r="FH128" s="136">
        <f t="shared" si="1022"/>
        <v>1.7122048854095275</v>
      </c>
      <c r="FI128" s="110">
        <f t="shared" si="1023"/>
        <v>1.800102871839254</v>
      </c>
      <c r="FJ128" s="110">
        <f>IF(SeilBeregnet=0,"-",FJ$7*(FL:FL+FJ$6)*FO:FO*PropF+ErfaringsF+Dyp_F)</f>
        <v>0.91036567713123662</v>
      </c>
      <c r="FK128" s="144" t="str">
        <f t="shared" si="239"/>
        <v>-</v>
      </c>
      <c r="FL128" s="110">
        <f>(FM:FM*FN:FN)^FL$3</f>
        <v>5.7255732027336776</v>
      </c>
      <c r="FM128" s="136">
        <f t="shared" si="1024"/>
        <v>3.3439766768123822</v>
      </c>
      <c r="FN128" s="136">
        <f t="shared" si="1025"/>
        <v>1.7122048854095275</v>
      </c>
      <c r="FO128" s="110">
        <f t="shared" si="1026"/>
        <v>1.800102871839254</v>
      </c>
      <c r="FQ128">
        <v>0.95</v>
      </c>
      <c r="FR128" s="64">
        <f t="shared" si="970"/>
        <v>1.1150902055311425</v>
      </c>
      <c r="FS128" s="479"/>
      <c r="FT128" s="18"/>
      <c r="FU128" s="481"/>
      <c r="FV128" s="504"/>
      <c r="FW128" s="18"/>
      <c r="FX128" s="18"/>
      <c r="FY128" s="18"/>
      <c r="FZ128" s="18"/>
      <c r="GB128" s="18"/>
      <c r="GC128" s="481"/>
      <c r="GD128" s="8"/>
      <c r="GE128" s="8"/>
      <c r="GF128" s="8"/>
      <c r="GG128" s="8"/>
      <c r="GI128" s="18"/>
      <c r="GJ128" s="18"/>
      <c r="GK128" s="18"/>
      <c r="GL128" s="18"/>
      <c r="GM128" s="18"/>
      <c r="GN128" s="18"/>
      <c r="GO128" s="18"/>
      <c r="GP128" s="18"/>
    </row>
    <row r="129" spans="1:198" ht="15.6" x14ac:dyDescent="0.3">
      <c r="A129" s="62" t="s">
        <v>32</v>
      </c>
      <c r="B129" s="223"/>
      <c r="C129" s="14" t="str">
        <f>C127</f>
        <v>Gaffel</v>
      </c>
      <c r="G129" s="56"/>
      <c r="H129" s="209">
        <f>TBFavrundet</f>
        <v>88.999999999999986</v>
      </c>
      <c r="I129" s="65">
        <f>COUNTA(O129:AD129)</f>
        <v>3</v>
      </c>
      <c r="J129" s="228">
        <f>SUM(O129:AD129)</f>
        <v>75</v>
      </c>
      <c r="K129" s="119">
        <f>Seilareal/Depl^0.667/K$7</f>
        <v>1.1264495725587911</v>
      </c>
      <c r="L129" s="119">
        <f>Seilareal/Lwl/Lwl/L$7</f>
        <v>1.0321899804984314</v>
      </c>
      <c r="M129" s="95">
        <f>RiggF</f>
        <v>0.83333333333333337</v>
      </c>
      <c r="N129" s="265">
        <f>StHfaktor</f>
        <v>0.9875674978203548</v>
      </c>
      <c r="O129" s="147"/>
      <c r="P129" s="147"/>
      <c r="Q129" s="169">
        <v>21</v>
      </c>
      <c r="R129" s="147"/>
      <c r="S129" s="147"/>
      <c r="T129" s="169">
        <v>17</v>
      </c>
      <c r="U129" s="169">
        <v>37</v>
      </c>
      <c r="V129" s="148"/>
      <c r="W129" s="148"/>
      <c r="X129" s="148"/>
      <c r="Y129" s="147"/>
      <c r="Z129" s="147"/>
      <c r="AA129" s="147"/>
      <c r="AB129" s="147"/>
      <c r="AC129" s="147"/>
      <c r="AD129" s="147"/>
      <c r="AE129" s="260">
        <f t="shared" ref="AE129" si="1067">AE128</f>
        <v>9.5</v>
      </c>
      <c r="AF129" s="375">
        <f t="shared" si="1043"/>
        <v>0</v>
      </c>
      <c r="AG129" s="377"/>
      <c r="AH129" s="375">
        <f t="shared" si="1043"/>
        <v>0</v>
      </c>
      <c r="AI129" s="377"/>
      <c r="AJ129" s="295" t="str">
        <f t="shared" ref="AJ129" si="1068" xml:space="preserve"> AJ128</f>
        <v>Los</v>
      </c>
      <c r="AK129" s="47">
        <f>VLOOKUP(AJ129,Skrogform!$1:$1048576,3,FALSE)</f>
        <v>0.97</v>
      </c>
      <c r="AL129" s="66">
        <f t="shared" ref="AL129:AT129" si="1069">AL128</f>
        <v>11.58</v>
      </c>
      <c r="AM129" s="66">
        <f t="shared" si="1069"/>
        <v>10.5</v>
      </c>
      <c r="AN129" s="66">
        <f t="shared" si="1069"/>
        <v>3.95</v>
      </c>
      <c r="AO129" s="66">
        <f t="shared" si="1069"/>
        <v>1.7</v>
      </c>
      <c r="AP129" s="66">
        <f t="shared" si="1069"/>
        <v>15</v>
      </c>
      <c r="AQ129" s="66">
        <f t="shared" si="1069"/>
        <v>2</v>
      </c>
      <c r="AR129" s="66">
        <f t="shared" si="1069"/>
        <v>2</v>
      </c>
      <c r="AS129" s="284">
        <f t="shared" si="1069"/>
        <v>0</v>
      </c>
      <c r="AT129" s="284">
        <f t="shared" si="1069"/>
        <v>350</v>
      </c>
      <c r="AU129" s="284">
        <f t="shared" ref="AU129:AV129" si="1070">AU128</f>
        <v>200</v>
      </c>
      <c r="AV129" s="284">
        <f t="shared" si="1070"/>
        <v>200</v>
      </c>
      <c r="AW129" s="284"/>
      <c r="AX129" s="284">
        <f>AX128</f>
        <v>0</v>
      </c>
      <c r="AY129" s="68"/>
      <c r="AZ129" s="68"/>
      <c r="BA129" s="289"/>
      <c r="BB129" s="68"/>
      <c r="BC129" s="179"/>
      <c r="BD129" s="68"/>
      <c r="BE129" s="68"/>
      <c r="BF129" s="67" t="str">
        <f t="shared" ref="BF129:BH129" si="1071" xml:space="preserve"> BF128</f>
        <v>Seilrett</v>
      </c>
      <c r="BG129" s="295">
        <f t="shared" si="1071"/>
        <v>3</v>
      </c>
      <c r="BH129" s="295">
        <f t="shared" si="1071"/>
        <v>0</v>
      </c>
      <c r="BI129" s="47">
        <f t="shared" si="853"/>
        <v>1</v>
      </c>
      <c r="BJ129" s="61"/>
      <c r="BK129" s="61"/>
      <c r="BM129" s="51">
        <f t="shared" si="1065"/>
        <v>0</v>
      </c>
      <c r="BN129" s="51">
        <f t="shared" si="1065"/>
        <v>0</v>
      </c>
      <c r="BO129" s="51">
        <f t="shared" si="1065"/>
        <v>21</v>
      </c>
      <c r="BP129" s="51">
        <f t="shared" si="1065"/>
        <v>0</v>
      </c>
      <c r="BQ129" s="51">
        <f t="shared" si="1065"/>
        <v>0</v>
      </c>
      <c r="BR129" s="51">
        <f t="shared" si="1065"/>
        <v>17</v>
      </c>
      <c r="BS129" s="52">
        <f>IF(COUNT(P129:T129)&gt;1,MINA(P129:T129)*BS$9,0)</f>
        <v>-5.0999999999999996</v>
      </c>
      <c r="BT129" s="88">
        <f t="shared" si="1066"/>
        <v>29.6</v>
      </c>
      <c r="BU129" s="88">
        <f t="shared" si="1066"/>
        <v>0</v>
      </c>
      <c r="BV129" s="88">
        <f t="shared" si="1066"/>
        <v>0</v>
      </c>
      <c r="BW129" s="88">
        <f t="shared" si="1066"/>
        <v>0</v>
      </c>
      <c r="BX129" s="88">
        <f t="shared" si="1066"/>
        <v>0</v>
      </c>
      <c r="BY129" s="88">
        <f t="shared" si="1066"/>
        <v>0</v>
      </c>
      <c r="BZ129" s="88">
        <f t="shared" si="1066"/>
        <v>0</v>
      </c>
      <c r="CA129" s="88">
        <f t="shared" si="1066"/>
        <v>0</v>
      </c>
      <c r="CB129" s="88">
        <f t="shared" si="1066"/>
        <v>0</v>
      </c>
      <c r="CC129" s="88">
        <f t="shared" si="1066"/>
        <v>0</v>
      </c>
      <c r="CD129" s="103">
        <f>SUM(BM129:CC129)</f>
        <v>62.5</v>
      </c>
      <c r="CE129" s="52"/>
      <c r="CF129" s="107">
        <f>J129</f>
        <v>75</v>
      </c>
      <c r="CG129" s="104">
        <f>CD129/CF129</f>
        <v>0.83333333333333337</v>
      </c>
      <c r="CH129" s="53">
        <f>Seilareal/Lwl/Lwl</f>
        <v>0.6802721088435375</v>
      </c>
      <c r="CI129" s="119">
        <f>Seilareal/Depl^0.667/K$7</f>
        <v>1.1264495725587911</v>
      </c>
      <c r="CJ129" s="53">
        <f>Seilareal/Lwl/Lwl/SApRS1</f>
        <v>1.0321899804984314</v>
      </c>
      <c r="CK129" s="209"/>
      <c r="CL129" s="209">
        <f>(ROUND(TBF/CL$6,3)*CL$6)*CL$4</f>
        <v>88.999999999999986</v>
      </c>
      <c r="CM129" s="110">
        <f t="shared" si="690"/>
        <v>0.8923413744691906</v>
      </c>
      <c r="CN129" s="64">
        <f>IF(SeilBeregnet=0,"-",(SeilBeregnet)^(1/2)*StHfaktor/(Depl+DeplTillegg/1000+Vann/1000+Diesel/1000*0.84)^(1/3))</f>
        <v>3.1267694206905898</v>
      </c>
      <c r="CO129" s="64">
        <f t="shared" si="659"/>
        <v>1.6718064208695813</v>
      </c>
      <c r="CP129" s="64">
        <f t="shared" si="660"/>
        <v>1.800102871839254</v>
      </c>
      <c r="CQ129" s="110">
        <f t="shared" si="661"/>
        <v>0.9875674978203548</v>
      </c>
      <c r="CR129" s="172" t="str">
        <f t="shared" si="965"/>
        <v>-</v>
      </c>
      <c r="CS129" s="162"/>
      <c r="CT129" s="172" t="str">
        <f t="shared" si="966"/>
        <v>-</v>
      </c>
      <c r="CU129" s="164"/>
      <c r="CV129" s="195" t="s">
        <v>145</v>
      </c>
      <c r="CW129" s="64">
        <v>0.88</v>
      </c>
      <c r="CX129" s="64">
        <v>0.87</v>
      </c>
      <c r="CY129" s="64">
        <v>0.9</v>
      </c>
      <c r="CZ129" s="154" t="s">
        <v>111</v>
      </c>
      <c r="DA129" s="64">
        <f t="shared" si="854"/>
        <v>1.9315295957092926</v>
      </c>
      <c r="DB129" s="49">
        <f t="shared" si="855"/>
        <v>11.003236245954692</v>
      </c>
      <c r="DC129" s="50">
        <f t="shared" si="856"/>
        <v>0</v>
      </c>
      <c r="DE129" s="110">
        <f>IF(SeilBeregnet=0,"-",DE$7*(DG:DG+DE$6)*DL:DL*PropF+ErfaringsF+Dyp_F)</f>
        <v>0.89416098458232574</v>
      </c>
      <c r="DF129" s="144" t="str">
        <f t="shared" si="248"/>
        <v>-</v>
      </c>
      <c r="DG129" s="110">
        <f t="shared" si="858"/>
        <v>4.9180961787061221</v>
      </c>
      <c r="DH129" s="136">
        <f>IF(SeilBeregnet=0,DH128,(SeilBeregnet^0.5/(Depl^0.3333))^DH$3*DH$7)</f>
        <v>3.2058912932965944</v>
      </c>
      <c r="DI129" s="136">
        <f>IF(SeilBeregnet=0,DI128,(SeilBeregnet^0.5/Lwl)^DI$3*DI$7)</f>
        <v>0</v>
      </c>
      <c r="DJ129" s="136">
        <f>IF(SeilBeregnet=0,DJ128,(0.1*Loa/Depl^0.3333)^DJ$3*DJ$7)</f>
        <v>0</v>
      </c>
      <c r="DK129" s="136">
        <f>IF(SeilBeregnet=0,DK128,((Loa)/Bredde)^DK$3*DK$7)</f>
        <v>1.7122048854095275</v>
      </c>
      <c r="DL129" s="110">
        <f>IF(SeilBeregnet=0,DL128,(Lwl)^DL$3)</f>
        <v>1.800102871839254</v>
      </c>
      <c r="DM129" s="136">
        <f>IF(SeilBeregnet=0,DM128,(Dypg/Loa)^DM$3*5*DM$7)</f>
        <v>1.9157559599542351</v>
      </c>
      <c r="DO129" s="110">
        <f t="shared" si="258"/>
        <v>0.9199395613084439</v>
      </c>
      <c r="DP129" s="110">
        <f t="shared" si="859"/>
        <v>0.88216901716011875</v>
      </c>
      <c r="DR129" s="110">
        <f t="shared" si="860"/>
        <v>0.87893615689867544</v>
      </c>
      <c r="DS129" s="125" t="str">
        <f t="shared" si="249"/>
        <v>-</v>
      </c>
      <c r="DT129" s="110">
        <f t="shared" si="862"/>
        <v>0.90193868526600318</v>
      </c>
      <c r="DU129" s="125" t="str">
        <f t="shared" si="250"/>
        <v>-</v>
      </c>
      <c r="DV129" s="110">
        <f t="shared" si="214"/>
        <v>3.2056308524391954</v>
      </c>
      <c r="DW129" s="110">
        <f t="shared" si="215"/>
        <v>2.1895879451208748</v>
      </c>
      <c r="DX129" s="110">
        <f t="shared" si="1007"/>
        <v>1.5376252189841919</v>
      </c>
      <c r="DZ129" s="110">
        <f t="shared" si="864"/>
        <v>0.89867048664473126</v>
      </c>
      <c r="EB129" s="110">
        <f t="shared" si="217"/>
        <v>3.2056308524391954</v>
      </c>
      <c r="EC129" s="110">
        <f t="shared" si="1008"/>
        <v>2.1897424068563001</v>
      </c>
      <c r="ED129" s="110">
        <f t="shared" si="1009"/>
        <v>1.7746351436830421</v>
      </c>
      <c r="EE129" s="110">
        <f t="shared" si="865"/>
        <v>0.89797613563152223</v>
      </c>
      <c r="EG129" s="110">
        <f t="shared" si="1010"/>
        <v>4.9290588414642995</v>
      </c>
      <c r="EH129" s="110">
        <f t="shared" si="219"/>
        <v>3.2056308524391954</v>
      </c>
      <c r="EI129" s="110">
        <f t="shared" si="1011"/>
        <v>1.5376252189841919</v>
      </c>
      <c r="EJ129" s="110">
        <f t="shared" si="1012"/>
        <v>1.800102871839254</v>
      </c>
      <c r="EK129" s="110">
        <f>IF(SeilBeregnet=0,"-",EK$7*(EK$4*EM:EM+EK$6)*EP:EP*PropF+ErfaringsF+Dyp_F)</f>
        <v>0.89766608824438043</v>
      </c>
      <c r="EM129" s="110">
        <f>IF(SeilBeregnet=0,EM128,(EN:EN*EO:EO)^EM$3)</f>
        <v>1.7746515593709473</v>
      </c>
      <c r="EN129" s="110">
        <f t="shared" si="220"/>
        <v>3.2056308524391954</v>
      </c>
      <c r="EO129" s="110">
        <f t="shared" si="1013"/>
        <v>0.98245503058511408</v>
      </c>
      <c r="EP129" s="110">
        <f t="shared" si="1014"/>
        <v>1.813831525361854</v>
      </c>
      <c r="EQ129" s="110">
        <f>IF(SeilBeregnet=0,"-",EQ$7*(ES:ES+EQ$6)*EV:EV*PropF+ErfaringsF+Dyp_F)</f>
        <v>0.88085747674593218</v>
      </c>
      <c r="ES129" s="110">
        <f>(ET:ET*EU:EU)^ES$3</f>
        <v>1.7747236485177789</v>
      </c>
      <c r="ET129" s="110">
        <f t="shared" si="221"/>
        <v>3.2058912932965944</v>
      </c>
      <c r="EU129" s="110">
        <f t="shared" si="1015"/>
        <v>0.98245503058511408</v>
      </c>
      <c r="EV129" s="110">
        <f t="shared" si="1016"/>
        <v>1.813831525361854</v>
      </c>
      <c r="EW129" s="110">
        <f>IF(SeilBeregnet=0,"-",EW$7*(EY:EY+EW$6)*FB:FB*PropF+ErfaringsF+Dyp_F)</f>
        <v>0.88855579101666637</v>
      </c>
      <c r="EX129" s="144" t="str">
        <f t="shared" si="237"/>
        <v>-</v>
      </c>
      <c r="EY129" s="110">
        <f>(EZ:EZ*FA:FA)^EY$3</f>
        <v>3.0943836204585469</v>
      </c>
      <c r="EZ129" s="136">
        <f t="shared" si="1017"/>
        <v>3.2058912932965944</v>
      </c>
      <c r="FA129" s="136">
        <f t="shared" si="1018"/>
        <v>0.96521788712199752</v>
      </c>
      <c r="FB129" s="110">
        <f t="shared" si="1019"/>
        <v>1.0199924236440172</v>
      </c>
      <c r="FC129" s="110">
        <f>IF(SeilBeregnet=0,"-",FC$7*(FE:FE+FC$6)*FI:FI*PropF+ErfaringsF+Dyp_F)</f>
        <v>0.89360322511762513</v>
      </c>
      <c r="FD129" s="144" t="str">
        <f t="shared" si="238"/>
        <v>-</v>
      </c>
      <c r="FE129" s="110">
        <f>(FF:FF+FG:FG+FH:FH)^FE$3+FE$7</f>
        <v>5.1710194311271644</v>
      </c>
      <c r="FF129" s="136">
        <f t="shared" si="1020"/>
        <v>3.2058912932965944</v>
      </c>
      <c r="FG129" s="136">
        <f t="shared" si="1021"/>
        <v>0.75292325242104263</v>
      </c>
      <c r="FH129" s="136">
        <f t="shared" si="1022"/>
        <v>1.7122048854095275</v>
      </c>
      <c r="FI129" s="110">
        <f t="shared" si="1023"/>
        <v>1.800102871839254</v>
      </c>
      <c r="FJ129" s="110">
        <f>IF(SeilBeregnet=0,"-",FJ$7*(FL:FL+FJ$6)*FO:FO*PropF+ErfaringsF+Dyp_F)</f>
        <v>0.8882345205562282</v>
      </c>
      <c r="FK129" s="144" t="str">
        <f t="shared" si="239"/>
        <v>-</v>
      </c>
      <c r="FL129" s="110">
        <f>(FM:FM*FN:FN)^FL$3</f>
        <v>5.4891427344742976</v>
      </c>
      <c r="FM129" s="136">
        <f t="shared" si="1024"/>
        <v>3.2058912932965944</v>
      </c>
      <c r="FN129" s="136">
        <f t="shared" si="1025"/>
        <v>1.7122048854095275</v>
      </c>
      <c r="FO129" s="110">
        <f t="shared" si="1026"/>
        <v>1.800102871839254</v>
      </c>
      <c r="FQ129">
        <v>0.95</v>
      </c>
      <c r="FR129" s="64">
        <f t="shared" si="970"/>
        <v>1.0930058960434716</v>
      </c>
      <c r="FS129" s="479"/>
      <c r="FT129" s="18"/>
      <c r="FU129" s="481"/>
      <c r="FV129" s="504"/>
      <c r="FW129" s="18"/>
      <c r="FX129" s="18"/>
      <c r="FY129" s="18"/>
      <c r="FZ129" s="18"/>
      <c r="GB129" s="18"/>
      <c r="GC129" s="481"/>
      <c r="GD129" s="8"/>
      <c r="GE129" s="8"/>
      <c r="GF129" s="8"/>
      <c r="GG129" s="8"/>
      <c r="GI129" s="18"/>
      <c r="GJ129" s="18"/>
      <c r="GK129" s="18"/>
      <c r="GL129" s="18"/>
      <c r="GM129" s="18"/>
      <c r="GN129" s="18"/>
      <c r="GO129" s="18"/>
      <c r="GP129" s="18"/>
    </row>
    <row r="130" spans="1:198" ht="15.6" x14ac:dyDescent="0.3">
      <c r="A130" s="62" t="s">
        <v>36</v>
      </c>
      <c r="B130" s="223"/>
      <c r="C130" s="14" t="str">
        <f>C128</f>
        <v>Gaffel</v>
      </c>
      <c r="G130" s="56"/>
      <c r="H130" s="209">
        <f>TBFavrundet</f>
        <v>81.5</v>
      </c>
      <c r="I130" s="65">
        <f>COUNTA(O130:AD130)</f>
        <v>2</v>
      </c>
      <c r="J130" s="228">
        <f>SUM(O130:AD130)</f>
        <v>54</v>
      </c>
      <c r="K130" s="119">
        <f>Seilareal/Depl^0.667/K$7</f>
        <v>0.81104369224232964</v>
      </c>
      <c r="L130" s="119">
        <f>Seilareal/Lwl/Lwl/L$7</f>
        <v>0.7431767859588706</v>
      </c>
      <c r="M130" s="95">
        <f>RiggF</f>
        <v>0.86296296296296304</v>
      </c>
      <c r="N130" s="265">
        <f>StHfaktor</f>
        <v>0.9875674978203548</v>
      </c>
      <c r="O130" s="147"/>
      <c r="P130" s="147"/>
      <c r="Q130" s="147"/>
      <c r="R130" s="147"/>
      <c r="S130" s="147"/>
      <c r="T130" s="169">
        <v>17</v>
      </c>
      <c r="U130" s="169">
        <v>37</v>
      </c>
      <c r="V130" s="148"/>
      <c r="W130" s="148"/>
      <c r="X130" s="148"/>
      <c r="Y130" s="147"/>
      <c r="Z130" s="147"/>
      <c r="AA130" s="147"/>
      <c r="AB130" s="147"/>
      <c r="AC130" s="147"/>
      <c r="AD130" s="147"/>
      <c r="AE130" s="260">
        <f t="shared" ref="AE130" si="1072">AE129</f>
        <v>9.5</v>
      </c>
      <c r="AF130" s="375">
        <f t="shared" si="1043"/>
        <v>0</v>
      </c>
      <c r="AG130" s="377"/>
      <c r="AH130" s="375">
        <f t="shared" si="1043"/>
        <v>0</v>
      </c>
      <c r="AI130" s="377"/>
      <c r="AJ130" s="295" t="str">
        <f t="shared" ref="AJ130" si="1073" xml:space="preserve"> AJ129</f>
        <v>Los</v>
      </c>
      <c r="AK130" s="47">
        <f>VLOOKUP(AJ130,Skrogform!$1:$1048576,3,FALSE)</f>
        <v>0.97</v>
      </c>
      <c r="AL130" s="66">
        <f t="shared" ref="AL130:AT130" si="1074">AL129</f>
        <v>11.58</v>
      </c>
      <c r="AM130" s="66">
        <f t="shared" si="1074"/>
        <v>10.5</v>
      </c>
      <c r="AN130" s="66">
        <f t="shared" si="1074"/>
        <v>3.95</v>
      </c>
      <c r="AO130" s="66">
        <f t="shared" si="1074"/>
        <v>1.7</v>
      </c>
      <c r="AP130" s="66">
        <f t="shared" si="1074"/>
        <v>15</v>
      </c>
      <c r="AQ130" s="66">
        <f t="shared" si="1074"/>
        <v>2</v>
      </c>
      <c r="AR130" s="66">
        <f t="shared" si="1074"/>
        <v>2</v>
      </c>
      <c r="AS130" s="284">
        <f t="shared" si="1074"/>
        <v>0</v>
      </c>
      <c r="AT130" s="284">
        <f t="shared" si="1074"/>
        <v>350</v>
      </c>
      <c r="AU130" s="284">
        <f t="shared" ref="AU130:AV130" si="1075">AU129</f>
        <v>200</v>
      </c>
      <c r="AV130" s="284">
        <f t="shared" si="1075"/>
        <v>200</v>
      </c>
      <c r="AW130" s="284"/>
      <c r="AX130" s="284">
        <f>AX129</f>
        <v>0</v>
      </c>
      <c r="AY130" s="68"/>
      <c r="AZ130" s="68"/>
      <c r="BA130" s="289"/>
      <c r="BB130" s="68"/>
      <c r="BC130" s="179"/>
      <c r="BD130" s="68"/>
      <c r="BE130" s="68"/>
      <c r="BF130" s="67" t="str">
        <f t="shared" ref="BF130:BH130" si="1076" xml:space="preserve"> BF129</f>
        <v>Seilrett</v>
      </c>
      <c r="BG130" s="295">
        <f t="shared" si="1076"/>
        <v>3</v>
      </c>
      <c r="BH130" s="295">
        <f t="shared" si="1076"/>
        <v>0</v>
      </c>
      <c r="BI130" s="47">
        <f t="shared" si="853"/>
        <v>1</v>
      </c>
      <c r="BJ130" s="61"/>
      <c r="BK130" s="61"/>
      <c r="BM130" s="51">
        <f t="shared" si="1065"/>
        <v>0</v>
      </c>
      <c r="BN130" s="51">
        <f t="shared" si="1065"/>
        <v>0</v>
      </c>
      <c r="BO130" s="51">
        <f t="shared" si="1065"/>
        <v>0</v>
      </c>
      <c r="BP130" s="51">
        <f t="shared" si="1065"/>
        <v>0</v>
      </c>
      <c r="BQ130" s="51">
        <f t="shared" si="1065"/>
        <v>0</v>
      </c>
      <c r="BR130" s="51">
        <f t="shared" si="1065"/>
        <v>17</v>
      </c>
      <c r="BS130" s="52">
        <f>IF(COUNT(P130:T130)&gt;1,MINA(P130:T130)*BS$9,0)</f>
        <v>0</v>
      </c>
      <c r="BT130" s="88">
        <f t="shared" si="1066"/>
        <v>29.6</v>
      </c>
      <c r="BU130" s="88">
        <f t="shared" si="1066"/>
        <v>0</v>
      </c>
      <c r="BV130" s="88">
        <f t="shared" si="1066"/>
        <v>0</v>
      </c>
      <c r="BW130" s="88">
        <f t="shared" si="1066"/>
        <v>0</v>
      </c>
      <c r="BX130" s="88">
        <f t="shared" si="1066"/>
        <v>0</v>
      </c>
      <c r="BY130" s="88">
        <f t="shared" si="1066"/>
        <v>0</v>
      </c>
      <c r="BZ130" s="88">
        <f t="shared" si="1066"/>
        <v>0</v>
      </c>
      <c r="CA130" s="88">
        <f t="shared" si="1066"/>
        <v>0</v>
      </c>
      <c r="CB130" s="88">
        <f t="shared" si="1066"/>
        <v>0</v>
      </c>
      <c r="CC130" s="88">
        <f t="shared" si="1066"/>
        <v>0</v>
      </c>
      <c r="CD130" s="103">
        <f>SUM(BM130:CC130)</f>
        <v>46.6</v>
      </c>
      <c r="CE130" s="52"/>
      <c r="CF130" s="107">
        <f>J130</f>
        <v>54</v>
      </c>
      <c r="CG130" s="104">
        <f>CD130/CF130</f>
        <v>0.86296296296296304</v>
      </c>
      <c r="CH130" s="53">
        <f>Seilareal/Lwl/Lwl</f>
        <v>0.48979591836734698</v>
      </c>
      <c r="CI130" s="119">
        <f>Seilareal/Depl^0.667/K$7</f>
        <v>0.81104369224232964</v>
      </c>
      <c r="CJ130" s="53">
        <f>Seilareal/Lwl/Lwl/SApRS1</f>
        <v>0.7431767859588706</v>
      </c>
      <c r="CK130" s="209"/>
      <c r="CL130" s="209">
        <f>(ROUND(TBF/CL$6,3)*CL$6)*CL$4</f>
        <v>81.5</v>
      </c>
      <c r="CM130" s="110">
        <f t="shared" si="690"/>
        <v>0.81296219876228892</v>
      </c>
      <c r="CN130" s="64">
        <f>IF(SeilBeregnet=0,"-",(SeilBeregnet)^(1/2)*StHfaktor/(Depl+DeplTillegg/1000+Vann/1000+Diesel/1000*0.84)^(1/3))</f>
        <v>2.6999070048391665</v>
      </c>
      <c r="CO130" s="64">
        <f t="shared" si="659"/>
        <v>1.6718064208695813</v>
      </c>
      <c r="CP130" s="64">
        <f t="shared" si="660"/>
        <v>1.800102871839254</v>
      </c>
      <c r="CQ130" s="110">
        <f t="shared" si="661"/>
        <v>0.9875674978203548</v>
      </c>
      <c r="CR130" s="172" t="str">
        <f t="shared" si="965"/>
        <v>-</v>
      </c>
      <c r="CS130" s="162"/>
      <c r="CT130" s="172" t="str">
        <f t="shared" si="966"/>
        <v>-</v>
      </c>
      <c r="CU130" s="164"/>
      <c r="CV130" s="195" t="s">
        <v>145</v>
      </c>
      <c r="CW130" s="64">
        <v>0.78</v>
      </c>
      <c r="CX130" s="64">
        <v>0.81</v>
      </c>
      <c r="CY130" s="64">
        <v>0.81</v>
      </c>
      <c r="CZ130" s="154" t="s">
        <v>111</v>
      </c>
      <c r="DA130" s="64">
        <f t="shared" si="854"/>
        <v>1.9315295957092926</v>
      </c>
      <c r="DB130" s="49">
        <f t="shared" si="855"/>
        <v>11.003236245954692</v>
      </c>
      <c r="DC130" s="50">
        <f t="shared" si="856"/>
        <v>0</v>
      </c>
      <c r="DE130" s="110">
        <f>IF(SeilBeregnet=0,"-",DE$7*(DG:DG+DE$6)*DL:DL*PropF+ErfaringsF+Dyp_F)</f>
        <v>0.81458911675644718</v>
      </c>
      <c r="DF130" s="144" t="str">
        <f t="shared" si="248"/>
        <v>-</v>
      </c>
      <c r="DG130" s="110">
        <f t="shared" si="858"/>
        <v>4.4804321497060613</v>
      </c>
      <c r="DH130" s="136">
        <f>IF(SeilBeregnet=0,DH129,(SeilBeregnet^0.5/(Depl^0.3333))^DH$3*DH$7)</f>
        <v>2.7682272642965335</v>
      </c>
      <c r="DI130" s="136">
        <f>IF(SeilBeregnet=0,DI129,(SeilBeregnet^0.5/Lwl)^DI$3*DI$7)</f>
        <v>0</v>
      </c>
      <c r="DJ130" s="136">
        <f>IF(SeilBeregnet=0,DJ129,(0.1*Loa/Depl^0.3333)^DJ$3*DJ$7)</f>
        <v>0</v>
      </c>
      <c r="DK130" s="136">
        <f>IF(SeilBeregnet=0,DK129,((Loa)/Bredde)^DK$3*DK$7)</f>
        <v>1.7122048854095275</v>
      </c>
      <c r="DL130" s="110">
        <f>IF(SeilBeregnet=0,DL129,(Lwl)^DL$3)</f>
        <v>1.800102871839254</v>
      </c>
      <c r="DM130" s="136">
        <f>IF(SeilBeregnet=0,DM129,(Dypg/Loa)^DM$3*5*DM$7)</f>
        <v>1.9157559599542351</v>
      </c>
      <c r="DO130" s="110">
        <f t="shared" si="258"/>
        <v>0.83810535954875154</v>
      </c>
      <c r="DP130" s="110">
        <f t="shared" si="859"/>
        <v>0.78867320066389335</v>
      </c>
      <c r="DR130" s="110">
        <f t="shared" si="860"/>
        <v>0.80480528724714273</v>
      </c>
      <c r="DS130" s="125" t="str">
        <f t="shared" si="249"/>
        <v>-</v>
      </c>
      <c r="DT130" s="110">
        <f t="shared" si="862"/>
        <v>0.80960589049554155</v>
      </c>
      <c r="DU130" s="125" t="str">
        <f t="shared" si="250"/>
        <v>-</v>
      </c>
      <c r="DV130" s="110">
        <f t="shared" si="214"/>
        <v>2.7680023784796952</v>
      </c>
      <c r="DW130" s="110">
        <f t="shared" si="215"/>
        <v>2.1895879451208748</v>
      </c>
      <c r="DX130" s="110">
        <f t="shared" si="1007"/>
        <v>1.5376252189841919</v>
      </c>
      <c r="DZ130" s="110">
        <f t="shared" si="864"/>
        <v>0.81586757795793219</v>
      </c>
      <c r="EB130" s="110">
        <f t="shared" si="217"/>
        <v>2.7680023784796952</v>
      </c>
      <c r="EC130" s="110">
        <f t="shared" si="1008"/>
        <v>2.1897424068563001</v>
      </c>
      <c r="ED130" s="110">
        <f t="shared" si="1009"/>
        <v>1.7746351436830421</v>
      </c>
      <c r="EE130" s="110">
        <f t="shared" si="865"/>
        <v>0.81077008666788575</v>
      </c>
      <c r="EG130" s="110">
        <f t="shared" si="1010"/>
        <v>4.256150263358605</v>
      </c>
      <c r="EH130" s="110">
        <f t="shared" si="219"/>
        <v>2.7680023784796952</v>
      </c>
      <c r="EI130" s="110">
        <f t="shared" si="1011"/>
        <v>1.5376252189841919</v>
      </c>
      <c r="EJ130" s="110">
        <f t="shared" si="1012"/>
        <v>1.800102871839254</v>
      </c>
      <c r="EK130" s="110">
        <f>IF(SeilBeregnet=0,"-",EK$7*(EK$4*EM:EM+EK$6)*EP:EP*PropF+ErfaringsF+Dyp_F)</f>
        <v>0.80922727197505195</v>
      </c>
      <c r="EM130" s="110">
        <f>IF(SeilBeregnet=0,EM129,(EN:EN*EO:EO)^EM$3)</f>
        <v>1.6490718181476929</v>
      </c>
      <c r="EN130" s="110">
        <f t="shared" si="220"/>
        <v>2.7680023784796952</v>
      </c>
      <c r="EO130" s="110">
        <f t="shared" si="1013"/>
        <v>0.98245503058511408</v>
      </c>
      <c r="EP130" s="110">
        <f t="shared" si="1014"/>
        <v>1.813831525361854</v>
      </c>
      <c r="EQ130" s="110">
        <f>IF(SeilBeregnet=0,"-",EQ$7*(ES:ES+EQ$6)*EV:EV*PropF+ErfaringsF+Dyp_F)</f>
        <v>0.81852532292102398</v>
      </c>
      <c r="ES130" s="110">
        <f>(ET:ET*EU:EU)^ES$3</f>
        <v>1.6491388060472647</v>
      </c>
      <c r="ET130" s="110">
        <f t="shared" si="221"/>
        <v>2.7682272642965335</v>
      </c>
      <c r="EU130" s="110">
        <f t="shared" si="1015"/>
        <v>0.98245503058511408</v>
      </c>
      <c r="EV130" s="110">
        <f t="shared" si="1016"/>
        <v>1.813831525361854</v>
      </c>
      <c r="EW130" s="110">
        <f>IF(SeilBeregnet=0,"-",EW$7*(EY:EY+EW$6)*FB:FB*PropF+ErfaringsF+Dyp_F)</f>
        <v>0.81487415304518906</v>
      </c>
      <c r="EX130" s="144" t="str">
        <f t="shared" si="237"/>
        <v>-</v>
      </c>
      <c r="EY130" s="110">
        <f>(EZ:EZ*FA:FA)^EY$3</f>
        <v>2.6719424711178075</v>
      </c>
      <c r="EZ130" s="136">
        <f t="shared" si="1017"/>
        <v>2.7682272642965335</v>
      </c>
      <c r="FA130" s="136">
        <f t="shared" si="1018"/>
        <v>0.96521788712199752</v>
      </c>
      <c r="FB130" s="110">
        <f t="shared" si="1019"/>
        <v>1.0199924236440172</v>
      </c>
      <c r="FC130" s="110">
        <f>IF(SeilBeregnet=0,"-",FC$7*(FE:FE+FC$6)*FI:FI*PropF+ErfaringsF+Dyp_F)</f>
        <v>0.80020776261605964</v>
      </c>
      <c r="FD130" s="144" t="str">
        <f t="shared" si="238"/>
        <v>-</v>
      </c>
      <c r="FE130" s="110">
        <f>(FF:FF+FG:FG+FH:FH)^FE$3+FE$7</f>
        <v>4.6305673179299092</v>
      </c>
      <c r="FF130" s="136">
        <f t="shared" si="1020"/>
        <v>2.7682272642965335</v>
      </c>
      <c r="FG130" s="136">
        <f t="shared" si="1021"/>
        <v>0.65013516822384809</v>
      </c>
      <c r="FH130" s="136">
        <f t="shared" si="1022"/>
        <v>1.7122048854095275</v>
      </c>
      <c r="FI130" s="110">
        <f t="shared" si="1023"/>
        <v>1.800102871839254</v>
      </c>
      <c r="FJ130" s="110">
        <f>IF(SeilBeregnet=0,"-",FJ$7*(FL:FL+FJ$6)*FO:FO*PropF+ErfaringsF+Dyp_F)</f>
        <v>0.81808943418695312</v>
      </c>
      <c r="FK130" s="144" t="str">
        <f t="shared" si="239"/>
        <v>-</v>
      </c>
      <c r="FL130" s="110">
        <f>(FM:FM*FN:FN)^FL$3</f>
        <v>4.7397722458523761</v>
      </c>
      <c r="FM130" s="136">
        <f t="shared" si="1024"/>
        <v>2.7682272642965335</v>
      </c>
      <c r="FN130" s="136">
        <f t="shared" si="1025"/>
        <v>1.7122048854095275</v>
      </c>
      <c r="FO130" s="110">
        <f t="shared" si="1026"/>
        <v>1.800102871839254</v>
      </c>
      <c r="FQ130">
        <v>0.95</v>
      </c>
      <c r="FR130" s="64">
        <f t="shared" si="970"/>
        <v>1.0230092923337586</v>
      </c>
      <c r="FS130" s="479"/>
      <c r="FT130" s="18"/>
      <c r="FU130" s="481"/>
      <c r="FV130" s="504"/>
      <c r="FW130" s="18"/>
      <c r="FX130" s="18"/>
      <c r="FY130" s="18"/>
      <c r="FZ130" s="18"/>
      <c r="GB130" s="18"/>
      <c r="GC130" s="481"/>
      <c r="GD130" s="8"/>
      <c r="GE130" s="8"/>
      <c r="GF130" s="8"/>
      <c r="GG130" s="8"/>
      <c r="GI130" s="18"/>
      <c r="GJ130" s="18"/>
      <c r="GK130" s="18"/>
      <c r="GL130" s="18"/>
      <c r="GM130" s="18"/>
      <c r="GN130" s="18"/>
      <c r="GO130" s="18"/>
      <c r="GP130" s="18"/>
    </row>
    <row r="131" spans="1:198" ht="15.6" x14ac:dyDescent="0.3">
      <c r="A131" s="54" t="s">
        <v>168</v>
      </c>
      <c r="B131" s="223">
        <f t="shared" si="199"/>
        <v>37.073490813648291</v>
      </c>
      <c r="C131" s="55" t="s">
        <v>22</v>
      </c>
      <c r="D131" s="55"/>
      <c r="E131" s="55"/>
      <c r="F131" s="55"/>
      <c r="G131" s="56"/>
      <c r="H131" s="209"/>
      <c r="I131" s="126" t="str">
        <f>A131</f>
        <v>LS Frithjof 1</v>
      </c>
      <c r="J131" s="229"/>
      <c r="K131" s="119"/>
      <c r="L131" s="119"/>
      <c r="M131" s="95"/>
      <c r="N131" s="265"/>
      <c r="O131" s="169"/>
      <c r="P131" s="169"/>
      <c r="Q131" s="169">
        <v>24</v>
      </c>
      <c r="R131" s="169">
        <v>14.4</v>
      </c>
      <c r="S131" s="169"/>
      <c r="T131" s="169">
        <v>17</v>
      </c>
      <c r="U131" s="169">
        <v>43</v>
      </c>
      <c r="V131" s="181">
        <f>StorS-StorS/6</f>
        <v>35.833333333333336</v>
      </c>
      <c r="W131" s="181">
        <f>StorS-StorS/6*1.9</f>
        <v>29.383333333333333</v>
      </c>
      <c r="X131" s="169"/>
      <c r="Y131" s="169">
        <v>10</v>
      </c>
      <c r="Z131" s="169"/>
      <c r="AA131" s="169"/>
      <c r="AB131" s="169"/>
      <c r="AC131" s="169"/>
      <c r="AD131" s="169"/>
      <c r="AE131" s="270">
        <v>10.55</v>
      </c>
      <c r="AF131" s="296"/>
      <c r="AG131" s="377"/>
      <c r="AH131" s="296"/>
      <c r="AI131" s="377"/>
      <c r="AJ131" s="296" t="s">
        <v>229</v>
      </c>
      <c r="AK131" s="47">
        <f>VLOOKUP(AJ131,Skrogform!$1:$1048576,3,FALSE)</f>
        <v>0.97</v>
      </c>
      <c r="AL131" s="57">
        <v>11.3</v>
      </c>
      <c r="AM131" s="57">
        <v>10.199999999999999</v>
      </c>
      <c r="AN131" s="57">
        <v>4.05</v>
      </c>
      <c r="AO131" s="57">
        <v>1.8</v>
      </c>
      <c r="AP131" s="57">
        <v>15.24</v>
      </c>
      <c r="AQ131" s="57">
        <v>5.2</v>
      </c>
      <c r="AR131" s="57">
        <v>0.3</v>
      </c>
      <c r="AS131" s="281">
        <v>30</v>
      </c>
      <c r="AT131" s="281">
        <v>450</v>
      </c>
      <c r="AU131" s="281">
        <f>ROUND(Depl*10,-2)</f>
        <v>200</v>
      </c>
      <c r="AV131" s="281">
        <f>ROUND(Depl*10,-2)</f>
        <v>200</v>
      </c>
      <c r="AW131" s="270">
        <f>Depl+Diesel/1000+Vann/1000</f>
        <v>15.639999999999999</v>
      </c>
      <c r="AX131" s="281"/>
      <c r="AY131" s="98">
        <f>Bredde/(Loa+Lwl)*2</f>
        <v>0.37674418604651161</v>
      </c>
      <c r="AZ131" s="98">
        <f>(Kjøl+Ballast)/Depl</f>
        <v>0.36089238845144356</v>
      </c>
      <c r="BA131" s="288">
        <f>BA$7*((Depl-Kjøl-Ballast-VektMotor/1000-VektAnnet/1000)/Loa/Lwl/Bredde)</f>
        <v>0.86108929221266062</v>
      </c>
      <c r="BB131" s="98">
        <f>BB$7*(Depl/Loa/Lwl/Lwl)</f>
        <v>0.97340671843958848</v>
      </c>
      <c r="BC131" s="178">
        <f>BC$7*(Depl/Loa/Lwl/Bredde)</f>
        <v>0.90617442257138869</v>
      </c>
      <c r="BD131" s="98">
        <f>BD$7*Bredde/(Loa+Lwl)*2</f>
        <v>1.0747336834208552</v>
      </c>
      <c r="BE131" s="98">
        <f>BE$7*(Dypg/Lwl)</f>
        <v>0.96521739130434792</v>
      </c>
      <c r="BF131" s="58" t="s">
        <v>24</v>
      </c>
      <c r="BG131" s="296">
        <v>3</v>
      </c>
      <c r="BH131" s="296">
        <v>50</v>
      </c>
      <c r="BI131" s="47">
        <f t="shared" si="853"/>
        <v>1</v>
      </c>
      <c r="BJ131" s="61"/>
      <c r="BK131" s="61"/>
      <c r="BM131" s="214"/>
      <c r="BN131" s="214" t="str">
        <f>$A131</f>
        <v>LS Frithjof 1</v>
      </c>
      <c r="BO131" s="10"/>
      <c r="BP131" s="10"/>
      <c r="BQ131" s="10"/>
      <c r="BR131" s="10"/>
      <c r="BS131" s="52"/>
      <c r="BT131" s="214" t="str">
        <f>$A131</f>
        <v>LS Frithjof 1</v>
      </c>
      <c r="BU131" s="10"/>
      <c r="BV131" s="10"/>
      <c r="BW131" s="10"/>
      <c r="BX131" s="10"/>
      <c r="BY131" s="10"/>
      <c r="BZ131" s="10"/>
      <c r="CA131" s="10"/>
      <c r="CB131" s="10"/>
      <c r="CC131" s="10"/>
      <c r="CD131" s="214"/>
      <c r="CE131" s="10"/>
      <c r="CF131" s="214" t="str">
        <f>$A131</f>
        <v>LS Frithjof 1</v>
      </c>
      <c r="CG131" s="212"/>
      <c r="CH131" s="212"/>
      <c r="CI131" s="119"/>
      <c r="CJ131" s="212"/>
      <c r="CK131" s="208"/>
      <c r="CL131" s="208" t="s">
        <v>26</v>
      </c>
      <c r="CM131" s="110" t="str">
        <f t="shared" si="690"/>
        <v>-</v>
      </c>
      <c r="CN131" s="64" t="str">
        <f>IF(SeilBeregnet=0,"-",(SeilBeregnet)^(1/2)*StHfaktor/(Depl+DeplTillegg/1000+Vann/1000+Diesel/1000*0.84)^(1/3))</f>
        <v>-</v>
      </c>
      <c r="CO131" s="64" t="str">
        <f t="shared" si="659"/>
        <v>-</v>
      </c>
      <c r="CP131" s="64" t="str">
        <f t="shared" si="660"/>
        <v>-</v>
      </c>
      <c r="CQ131" s="110" t="str">
        <f t="shared" si="661"/>
        <v>-</v>
      </c>
      <c r="CR131" s="172" t="str">
        <f t="shared" si="965"/>
        <v>-</v>
      </c>
      <c r="CS131" s="162"/>
      <c r="CT131" s="172" t="str">
        <f t="shared" si="966"/>
        <v>-</v>
      </c>
      <c r="CU131" s="164">
        <v>1.19</v>
      </c>
      <c r="CV131" s="195" t="s">
        <v>145</v>
      </c>
      <c r="CW131" s="30" t="s">
        <v>26</v>
      </c>
      <c r="CX131" s="30" t="s">
        <v>26</v>
      </c>
      <c r="CY131" s="30" t="s">
        <v>26</v>
      </c>
      <c r="CZ131" s="153">
        <v>2022</v>
      </c>
      <c r="DA131" s="64" t="str">
        <f t="shared" si="854"/>
        <v>-</v>
      </c>
      <c r="DB131" s="49">
        <f t="shared" si="855"/>
        <v>11.803278688524591</v>
      </c>
      <c r="DC131" s="50">
        <f t="shared" si="856"/>
        <v>0</v>
      </c>
      <c r="DE131" s="110" t="str">
        <f>IF(SeilBeregnet=0,"-",DE$7*(DG:DG+DE$6)*DL:DL*PropF+ErfaringsF+Dyp_F)</f>
        <v>-</v>
      </c>
      <c r="DF131" s="144" t="str">
        <f t="shared" ref="DF131:DF134" si="1077">IF($DQ131=0,"-",(DE131-$DO131)*100)</f>
        <v>-</v>
      </c>
      <c r="DG131" s="110" t="e">
        <f t="shared" si="858"/>
        <v>#REF!</v>
      </c>
      <c r="DH131" s="136" t="e">
        <f>IF(SeilBeregnet=0,#REF!,(SeilBeregnet^0.5/(Depl^0.3333))^DH$3*DH$7)</f>
        <v>#REF!</v>
      </c>
      <c r="DI131" s="136" t="e">
        <f>IF(SeilBeregnet=0,#REF!,(SeilBeregnet^0.5/Lwl)^DI$3*DI$7)</f>
        <v>#REF!</v>
      </c>
      <c r="DJ131" s="136" t="e">
        <f>IF(SeilBeregnet=0,#REF!,(0.1*Loa/Depl^0.3333)^DJ$3*DJ$7)</f>
        <v>#REF!</v>
      </c>
      <c r="DK131" s="136" t="e">
        <f>IF(SeilBeregnet=0,#REF!,((Loa)/Bredde)^DK$3*DK$7)</f>
        <v>#REF!</v>
      </c>
      <c r="DL131" s="110" t="e">
        <f>IF(SeilBeregnet=0,#REF!,(Lwl)^DL$3)</f>
        <v>#REF!</v>
      </c>
      <c r="DM131" s="136" t="e">
        <f>IF(SeilBeregnet=0,#REF!,(Dypg/Loa)^DM$3*5*DM$7)</f>
        <v>#REF!</v>
      </c>
      <c r="DO131" s="110" t="str">
        <f t="shared" si="258"/>
        <v>-</v>
      </c>
      <c r="DP131" s="110" t="str">
        <f t="shared" si="859"/>
        <v>-</v>
      </c>
      <c r="DR131" s="110" t="str">
        <f t="shared" si="860"/>
        <v>-</v>
      </c>
      <c r="DS131" s="125" t="str">
        <f t="shared" ref="DS131:DS134" si="1078">IF($DQ131=0,"-",DR131-$DO131)</f>
        <v>-</v>
      </c>
      <c r="DT131" s="110" t="str">
        <f t="shared" si="862"/>
        <v>-</v>
      </c>
      <c r="DU131" s="125" t="str">
        <f t="shared" ref="DU131:DU134" si="1079">IF($DQ131=0,"-",DT131-$DO131)</f>
        <v>-</v>
      </c>
      <c r="DV131" s="110">
        <f t="shared" si="214"/>
        <v>2.7680023784796952</v>
      </c>
      <c r="DW131" s="110">
        <f t="shared" si="215"/>
        <v>2.1895879451208748</v>
      </c>
      <c r="DX131" s="110">
        <f t="shared" si="1007"/>
        <v>1.5376252189841919</v>
      </c>
      <c r="DZ131" s="110" t="str">
        <f t="shared" si="864"/>
        <v>-</v>
      </c>
      <c r="EB131" s="110">
        <f t="shared" si="217"/>
        <v>2.7680023784796952</v>
      </c>
      <c r="EC131" s="110">
        <f t="shared" si="1008"/>
        <v>2.1897424068563001</v>
      </c>
      <c r="ED131" s="110">
        <f t="shared" si="1009"/>
        <v>1.7746351436830421</v>
      </c>
      <c r="EE131" s="110" t="str">
        <f t="shared" si="865"/>
        <v>-</v>
      </c>
      <c r="EG131" s="110">
        <f t="shared" si="1010"/>
        <v>4.256150263358605</v>
      </c>
      <c r="EH131" s="110">
        <f t="shared" si="219"/>
        <v>2.7680023784796952</v>
      </c>
      <c r="EI131" s="110">
        <f t="shared" si="1011"/>
        <v>1.5376252189841919</v>
      </c>
      <c r="EJ131" s="110">
        <f t="shared" si="1012"/>
        <v>1.800102871839254</v>
      </c>
      <c r="EK131" s="110" t="str">
        <f>IF(SeilBeregnet=0,"-",EK$7*(EK$4*EM:EM+EK$6)*EP:EP*PropF+ErfaringsF+Dyp_F)</f>
        <v>-</v>
      </c>
      <c r="EM131" s="110">
        <f>IF(SeilBeregnet=0,EM130,(EN:EN*EO:EO)^EM$3)</f>
        <v>1.6490718181476929</v>
      </c>
      <c r="EN131" s="110">
        <f t="shared" si="220"/>
        <v>2.7680023784796952</v>
      </c>
      <c r="EO131" s="110">
        <f t="shared" si="1013"/>
        <v>0.98245503058511408</v>
      </c>
      <c r="EP131" s="110">
        <f t="shared" si="1014"/>
        <v>1.813831525361854</v>
      </c>
      <c r="EQ131" s="110" t="str">
        <f>IF(SeilBeregnet=0,"-",EQ$7*(ES:ES+EQ$6)*EV:EV*PropF+ErfaringsF+Dyp_F)</f>
        <v>-</v>
      </c>
      <c r="ES131" s="110">
        <f>(ET:ET*EU:EU)^ES$3</f>
        <v>1.6491388060472647</v>
      </c>
      <c r="ET131" s="110">
        <f t="shared" si="221"/>
        <v>2.7682272642965335</v>
      </c>
      <c r="EU131" s="110">
        <f t="shared" si="1015"/>
        <v>0.98245503058511408</v>
      </c>
      <c r="EV131" s="110">
        <f t="shared" si="1016"/>
        <v>1.813831525361854</v>
      </c>
      <c r="EW131" s="110" t="str">
        <f>IF(SeilBeregnet=0,"-",EW$7*(EY:EY+EW$6)*FB:FB*PropF+ErfaringsF+Dyp_F)</f>
        <v>-</v>
      </c>
      <c r="EX131" s="144" t="str">
        <f t="shared" ref="EX131:EX134" si="1080">IF($DQ131=0,"-",(EW131-$DO131)*100)</f>
        <v>-</v>
      </c>
      <c r="EY131" s="110">
        <f>(EZ:EZ*FA:FA)^EY$3</f>
        <v>2.6719424711178075</v>
      </c>
      <c r="EZ131" s="136">
        <f t="shared" si="1017"/>
        <v>2.7682272642965335</v>
      </c>
      <c r="FA131" s="136">
        <f t="shared" si="1018"/>
        <v>0.96521788712199752</v>
      </c>
      <c r="FB131" s="110">
        <f t="shared" si="1019"/>
        <v>1.0199924236440172</v>
      </c>
      <c r="FC131" s="110" t="str">
        <f>IF(SeilBeregnet=0,"-",FC$7*(FE:FE+FC$6)*FI:FI*PropF+ErfaringsF+Dyp_F)</f>
        <v>-</v>
      </c>
      <c r="FD131" s="144" t="str">
        <f t="shared" ref="FD131:FD134" si="1081">IF($DQ131=0,"-",(FC131-$DO131)*100)</f>
        <v>-</v>
      </c>
      <c r="FE131" s="110">
        <f>(FF:FF+FG:FG+FH:FH)^FE$3+FE$7</f>
        <v>4.6305673179299092</v>
      </c>
      <c r="FF131" s="136">
        <f t="shared" si="1020"/>
        <v>2.7682272642965335</v>
      </c>
      <c r="FG131" s="136">
        <f t="shared" si="1021"/>
        <v>0.65013516822384809</v>
      </c>
      <c r="FH131" s="136">
        <f t="shared" si="1022"/>
        <v>1.7122048854095275</v>
      </c>
      <c r="FI131" s="110">
        <f t="shared" si="1023"/>
        <v>1.800102871839254</v>
      </c>
      <c r="FJ131" s="110" t="str">
        <f>IF(SeilBeregnet=0,"-",FJ$7*(FL:FL+FJ$6)*FO:FO*PropF+ErfaringsF+Dyp_F)</f>
        <v>-</v>
      </c>
      <c r="FK131" s="144" t="str">
        <f t="shared" ref="FK131:FK134" si="1082">IF($DQ131=0,"-",(FJ131-$DO131)*100)</f>
        <v>-</v>
      </c>
      <c r="FL131" s="110">
        <f>(FM:FM*FN:FN)^FL$3</f>
        <v>4.7397722458523761</v>
      </c>
      <c r="FM131" s="136">
        <f t="shared" si="1024"/>
        <v>2.7682272642965335</v>
      </c>
      <c r="FN131" s="136">
        <f t="shared" si="1025"/>
        <v>1.7122048854095275</v>
      </c>
      <c r="FO131" s="110">
        <f t="shared" si="1026"/>
        <v>1.800102871839254</v>
      </c>
      <c r="FQ131">
        <v>0.95</v>
      </c>
      <c r="FR131" s="64" t="str">
        <f t="shared" si="970"/>
        <v>-</v>
      </c>
      <c r="FS131" s="480"/>
      <c r="FT131" s="59"/>
      <c r="FU131" s="475"/>
      <c r="FV131" s="77"/>
      <c r="FW131" s="59"/>
      <c r="FX131" s="59"/>
      <c r="FY131" s="59"/>
      <c r="FZ131" s="59"/>
      <c r="GB131" s="59" t="s">
        <v>522</v>
      </c>
      <c r="GC131" s="475" t="s">
        <v>522</v>
      </c>
      <c r="GD131" s="60" t="s">
        <v>522</v>
      </c>
      <c r="GE131" s="60" t="s">
        <v>522</v>
      </c>
      <c r="GF131" s="60" t="s">
        <v>522</v>
      </c>
      <c r="GG131" s="60" t="s">
        <v>522</v>
      </c>
      <c r="GI131" s="59"/>
      <c r="GJ131" s="59"/>
      <c r="GK131" s="59"/>
      <c r="GL131" s="59"/>
      <c r="GM131" s="59"/>
      <c r="GN131" s="59"/>
      <c r="GO131" s="59"/>
      <c r="GP131" s="59"/>
    </row>
    <row r="132" spans="1:198" ht="15.6" x14ac:dyDescent="0.3">
      <c r="A132" s="62" t="s">
        <v>31</v>
      </c>
      <c r="B132" s="223"/>
      <c r="C132" s="63" t="str">
        <f>C131</f>
        <v>Gaffel</v>
      </c>
      <c r="D132" s="63"/>
      <c r="E132" s="63"/>
      <c r="F132" s="63"/>
      <c r="G132" s="56"/>
      <c r="H132" s="209">
        <f>TBFavrundet</f>
        <v>94</v>
      </c>
      <c r="I132" s="65">
        <f>COUNTA(O132:AD132)</f>
        <v>4</v>
      </c>
      <c r="J132" s="228">
        <f>SUM(O132:AD132)</f>
        <v>94</v>
      </c>
      <c r="K132" s="119">
        <f>Seilareal/Depl^0.667/K$7</f>
        <v>1.3969480042838578</v>
      </c>
      <c r="L132" s="119">
        <f>Seilareal/Lwl/Lwl/L$7</f>
        <v>1.3708959198892086</v>
      </c>
      <c r="M132" s="95">
        <f>RiggF</f>
        <v>0.80106382978723401</v>
      </c>
      <c r="N132" s="265">
        <f>StHfaktor</f>
        <v>1.0042261726404875</v>
      </c>
      <c r="O132" s="147"/>
      <c r="P132" s="147"/>
      <c r="Q132" s="169">
        <v>24</v>
      </c>
      <c r="R132" s="147"/>
      <c r="S132" s="147"/>
      <c r="T132" s="169">
        <v>17</v>
      </c>
      <c r="U132" s="169">
        <v>43</v>
      </c>
      <c r="V132" s="148"/>
      <c r="W132" s="148"/>
      <c r="X132" s="148"/>
      <c r="Y132" s="169">
        <v>10</v>
      </c>
      <c r="Z132" s="147"/>
      <c r="AA132" s="147"/>
      <c r="AB132" s="147"/>
      <c r="AC132" s="147"/>
      <c r="AD132" s="147"/>
      <c r="AE132" s="260">
        <f t="shared" ref="AE132" si="1083">AE131</f>
        <v>10.55</v>
      </c>
      <c r="AF132" s="375">
        <f t="shared" si="1043"/>
        <v>0</v>
      </c>
      <c r="AG132" s="377"/>
      <c r="AH132" s="375">
        <f t="shared" si="1043"/>
        <v>0</v>
      </c>
      <c r="AI132" s="377"/>
      <c r="AJ132" s="295" t="str">
        <f t="shared" ref="AJ132" si="1084" xml:space="preserve"> AJ131</f>
        <v>Los</v>
      </c>
      <c r="AK132" s="47">
        <f>VLOOKUP(AJ132,Skrogform!$1:$1048576,3,FALSE)</f>
        <v>0.97</v>
      </c>
      <c r="AL132" s="66">
        <f t="shared" ref="AL132:AT132" si="1085">AL131</f>
        <v>11.3</v>
      </c>
      <c r="AM132" s="66">
        <f t="shared" si="1085"/>
        <v>10.199999999999999</v>
      </c>
      <c r="AN132" s="66">
        <f t="shared" si="1085"/>
        <v>4.05</v>
      </c>
      <c r="AO132" s="66">
        <f t="shared" si="1085"/>
        <v>1.8</v>
      </c>
      <c r="AP132" s="66">
        <f t="shared" si="1085"/>
        <v>15.24</v>
      </c>
      <c r="AQ132" s="66">
        <f t="shared" si="1085"/>
        <v>5.2</v>
      </c>
      <c r="AR132" s="66">
        <f t="shared" si="1085"/>
        <v>0.3</v>
      </c>
      <c r="AS132" s="284">
        <f t="shared" si="1085"/>
        <v>30</v>
      </c>
      <c r="AT132" s="284">
        <f t="shared" si="1085"/>
        <v>450</v>
      </c>
      <c r="AU132" s="284">
        <f t="shared" ref="AU132:AV132" si="1086">AU131</f>
        <v>200</v>
      </c>
      <c r="AV132" s="284">
        <f t="shared" si="1086"/>
        <v>200</v>
      </c>
      <c r="AW132" s="284"/>
      <c r="AX132" s="284">
        <f>AX131</f>
        <v>0</v>
      </c>
      <c r="AY132" s="68"/>
      <c r="AZ132" s="68"/>
      <c r="BA132" s="289"/>
      <c r="BB132" s="68"/>
      <c r="BC132" s="179"/>
      <c r="BD132" s="68"/>
      <c r="BE132" s="68"/>
      <c r="BF132" s="67" t="str">
        <f t="shared" ref="BF132:BH132" si="1087" xml:space="preserve"> BF131</f>
        <v>Seilrett</v>
      </c>
      <c r="BG132" s="295">
        <f t="shared" si="1087"/>
        <v>3</v>
      </c>
      <c r="BH132" s="295">
        <f t="shared" si="1087"/>
        <v>50</v>
      </c>
      <c r="BI132" s="47">
        <f t="shared" si="853"/>
        <v>1</v>
      </c>
      <c r="BJ132" s="61"/>
      <c r="BK132" s="61"/>
      <c r="BM132" s="51">
        <f t="shared" ref="BM132:BR134" si="1088">IF(O132=0,0,O132*BM$9)</f>
        <v>0</v>
      </c>
      <c r="BN132" s="51">
        <f t="shared" si="1088"/>
        <v>0</v>
      </c>
      <c r="BO132" s="51">
        <f t="shared" si="1088"/>
        <v>24</v>
      </c>
      <c r="BP132" s="51">
        <f t="shared" si="1088"/>
        <v>0</v>
      </c>
      <c r="BQ132" s="51">
        <f t="shared" si="1088"/>
        <v>0</v>
      </c>
      <c r="BR132" s="51">
        <f t="shared" si="1088"/>
        <v>17</v>
      </c>
      <c r="BS132" s="52">
        <f>IF(COUNT(P132:T132)&gt;1,MINA(P132:T132)*BS$9,0)</f>
        <v>-5.0999999999999996</v>
      </c>
      <c r="BT132" s="88">
        <f t="shared" ref="BT132:CC134" si="1089">IF(U132=0,0,U132*BT$9)</f>
        <v>34.4</v>
      </c>
      <c r="BU132" s="88">
        <f t="shared" si="1089"/>
        <v>0</v>
      </c>
      <c r="BV132" s="88">
        <f t="shared" si="1089"/>
        <v>0</v>
      </c>
      <c r="BW132" s="88">
        <f t="shared" si="1089"/>
        <v>0</v>
      </c>
      <c r="BX132" s="88">
        <f t="shared" si="1089"/>
        <v>5</v>
      </c>
      <c r="BY132" s="88">
        <f t="shared" si="1089"/>
        <v>0</v>
      </c>
      <c r="BZ132" s="88">
        <f t="shared" si="1089"/>
        <v>0</v>
      </c>
      <c r="CA132" s="88">
        <f t="shared" si="1089"/>
        <v>0</v>
      </c>
      <c r="CB132" s="88">
        <f t="shared" si="1089"/>
        <v>0</v>
      </c>
      <c r="CC132" s="88">
        <f t="shared" si="1089"/>
        <v>0</v>
      </c>
      <c r="CD132" s="103">
        <f>SUM(BM132:CC132)</f>
        <v>75.3</v>
      </c>
      <c r="CE132" s="52"/>
      <c r="CF132" s="107">
        <f>J132</f>
        <v>94</v>
      </c>
      <c r="CG132" s="104">
        <f>CD132/CF132</f>
        <v>0.80106382978723401</v>
      </c>
      <c r="CH132" s="53">
        <f>Seilareal/Lwl/Lwl</f>
        <v>0.90349865436370647</v>
      </c>
      <c r="CI132" s="119">
        <f>Seilareal/Depl^0.667/K$7</f>
        <v>1.3969480042838578</v>
      </c>
      <c r="CJ132" s="53">
        <f>Seilareal/Lwl/Lwl/SApRS1</f>
        <v>1.3708959198892086</v>
      </c>
      <c r="CK132" s="209"/>
      <c r="CL132" s="209">
        <f>(ROUND(TBF/CL$6,3)*CL$6)*CL$4</f>
        <v>94</v>
      </c>
      <c r="CM132" s="110">
        <f t="shared" si="690"/>
        <v>0.94180411542790521</v>
      </c>
      <c r="CN132" s="64">
        <f>IF(SeilBeregnet=0,"-",(SeilBeregnet)^(1/2)*StHfaktor/(Depl+DeplTillegg/1000+Vann/1000+Diesel/1000*0.84)^(1/3))</f>
        <v>3.4721891981045356</v>
      </c>
      <c r="CO132" s="64">
        <f t="shared" si="659"/>
        <v>1.6292086998461313</v>
      </c>
      <c r="CP132" s="64">
        <f t="shared" si="660"/>
        <v>1.7871048890689831</v>
      </c>
      <c r="CQ132" s="110">
        <f t="shared" si="661"/>
        <v>1.0042261726404875</v>
      </c>
      <c r="CR132" s="172" t="str">
        <f t="shared" si="965"/>
        <v>-</v>
      </c>
      <c r="CS132" s="163">
        <f>CS131</f>
        <v>0</v>
      </c>
      <c r="CT132" s="172">
        <f t="shared" si="966"/>
        <v>0.91859649122807019</v>
      </c>
      <c r="CU132" s="163">
        <f>CU131</f>
        <v>1.19</v>
      </c>
      <c r="CV132" s="195" t="s">
        <v>145</v>
      </c>
      <c r="CW132" s="64">
        <v>0.9</v>
      </c>
      <c r="CX132" s="64">
        <v>0.88</v>
      </c>
      <c r="CY132" s="64">
        <v>0.92</v>
      </c>
      <c r="CZ132" s="154" t="s">
        <v>111</v>
      </c>
      <c r="DA132" s="64">
        <f t="shared" si="854"/>
        <v>2.0246022142804243</v>
      </c>
      <c r="DB132" s="49">
        <f t="shared" si="855"/>
        <v>11.803278688524591</v>
      </c>
      <c r="DC132" s="50">
        <f t="shared" si="856"/>
        <v>0</v>
      </c>
      <c r="DE132" s="110">
        <f>IF(SeilBeregnet=0,"-",DE$7*(DG:DG+DE$6)*DL:DL*PropF+ErfaringsF+Dyp_F)</f>
        <v>0.93329766427776029</v>
      </c>
      <c r="DF132" s="144" t="str">
        <f t="shared" si="1077"/>
        <v>-</v>
      </c>
      <c r="DG132" s="110">
        <f t="shared" si="858"/>
        <v>5.1706931081460876</v>
      </c>
      <c r="DH132" s="136">
        <f>IF(SeilBeregnet=0,DH131,(SeilBeregnet^0.5/(Depl^0.3333))^DH$3*DH$7)</f>
        <v>3.5003268438824313</v>
      </c>
      <c r="DI132" s="136">
        <f>IF(SeilBeregnet=0,DI131,(SeilBeregnet^0.5/Lwl)^DI$3*DI$7)</f>
        <v>0</v>
      </c>
      <c r="DJ132" s="136">
        <f>IF(SeilBeregnet=0,DJ131,(0.1*Loa/Depl^0.3333)^DJ$3*DJ$7)</f>
        <v>0</v>
      </c>
      <c r="DK132" s="136">
        <f>IF(SeilBeregnet=0,DK131,((Loa)/Bredde)^DK$3*DK$7)</f>
        <v>1.6703662642636565</v>
      </c>
      <c r="DL132" s="110">
        <f>IF(SeilBeregnet=0,DL131,(Lwl)^DL$3)</f>
        <v>1.7871048890689831</v>
      </c>
      <c r="DM132" s="136">
        <f>IF(SeilBeregnet=0,DM131,(Dypg/Loa)^DM$3*5*DM$7)</f>
        <v>1.9955703157132179</v>
      </c>
      <c r="DO132" s="110">
        <f t="shared" si="258"/>
        <v>0.97093207776072721</v>
      </c>
      <c r="DP132" s="110">
        <f t="shared" si="859"/>
        <v>0.94191010304291845</v>
      </c>
      <c r="DR132" s="110">
        <f t="shared" si="860"/>
        <v>0.91839914292648106</v>
      </c>
      <c r="DS132" s="125" t="str">
        <f t="shared" si="1078"/>
        <v>-</v>
      </c>
      <c r="DT132" s="110">
        <f t="shared" si="862"/>
        <v>0.94757676114643685</v>
      </c>
      <c r="DU132" s="125" t="str">
        <f t="shared" si="1079"/>
        <v>-</v>
      </c>
      <c r="DV132" s="110">
        <f t="shared" si="214"/>
        <v>3.5000408168876156</v>
      </c>
      <c r="DW132" s="110">
        <f t="shared" si="215"/>
        <v>2.1685350061166324</v>
      </c>
      <c r="DX132" s="110">
        <f t="shared" si="1007"/>
        <v>1.5179094305190397</v>
      </c>
      <c r="DZ132" s="110">
        <f t="shared" si="864"/>
        <v>0.93681949314653112</v>
      </c>
      <c r="EB132" s="110">
        <f t="shared" si="217"/>
        <v>3.5000408168876156</v>
      </c>
      <c r="EC132" s="110">
        <f t="shared" si="1008"/>
        <v>2.1686860967520136</v>
      </c>
      <c r="ED132" s="110">
        <f t="shared" si="1009"/>
        <v>1.7443634548832085</v>
      </c>
      <c r="EE132" s="110">
        <f t="shared" si="865"/>
        <v>0.94085715357784105</v>
      </c>
      <c r="EG132" s="110">
        <f t="shared" si="1010"/>
        <v>5.312744963155275</v>
      </c>
      <c r="EH132" s="110">
        <f t="shared" si="219"/>
        <v>3.5000408168876156</v>
      </c>
      <c r="EI132" s="110">
        <f t="shared" si="1011"/>
        <v>1.5179094305190397</v>
      </c>
      <c r="EJ132" s="110">
        <f t="shared" si="1012"/>
        <v>1.7871048890689831</v>
      </c>
      <c r="EK132" s="110">
        <f>IF(SeilBeregnet=0,"-",EK$7*(EK$4*EM:EM+EK$6)*EP:EP*PropF+ErfaringsF+Dyp_F)</f>
        <v>0.93891128379251987</v>
      </c>
      <c r="EM132" s="110">
        <f>IF(SeilBeregnet=0,EM131,(EN:EN*EO:EO)^EM$3)</f>
        <v>1.8424282235211173</v>
      </c>
      <c r="EN132" s="110">
        <f t="shared" si="220"/>
        <v>3.5000408168876156</v>
      </c>
      <c r="EO132" s="110">
        <f t="shared" si="1013"/>
        <v>0.96985776350052699</v>
      </c>
      <c r="EP132" s="110">
        <f t="shared" si="1014"/>
        <v>1.8013872842666538</v>
      </c>
      <c r="EQ132" s="110">
        <f>IF(SeilBeregnet=0,"-",EQ$7*(ES:ES+EQ$6)*EV:EV*PropF+ErfaringsF+Dyp_F)</f>
        <v>0.90822484498180622</v>
      </c>
      <c r="ES132" s="110">
        <f>(ET:ET*EU:EU)^ES$3</f>
        <v>1.842503504563471</v>
      </c>
      <c r="ET132" s="110">
        <f t="shared" si="221"/>
        <v>3.5003268438824313</v>
      </c>
      <c r="EU132" s="110">
        <f t="shared" si="1015"/>
        <v>0.96985776350052699</v>
      </c>
      <c r="EV132" s="110">
        <f t="shared" si="1016"/>
        <v>1.8013872842666538</v>
      </c>
      <c r="EW132" s="110">
        <f>IF(SeilBeregnet=0,"-",EW$7*(EY:EY+EW$6)*FB:FB*PropF+ErfaringsF+Dyp_F)</f>
        <v>0.91677632742425086</v>
      </c>
      <c r="EX132" s="144" t="str">
        <f t="shared" si="1080"/>
        <v>-</v>
      </c>
      <c r="EY132" s="110">
        <f>(EZ:EZ*FA:FA)^EY$3</f>
        <v>3.2924917222045349</v>
      </c>
      <c r="EZ132" s="136">
        <f t="shared" si="1017"/>
        <v>3.5003268438824313</v>
      </c>
      <c r="FA132" s="136">
        <f t="shared" si="1018"/>
        <v>0.94062408142224407</v>
      </c>
      <c r="FB132" s="110">
        <f t="shared" si="1019"/>
        <v>1.0129945126155542</v>
      </c>
      <c r="FC132" s="110">
        <f>IF(SeilBeregnet=0,"-",FC$7*(FE:FE+FC$6)*FI:FI*PropF+ErfaringsF+Dyp_F)</f>
        <v>0.94726864556546797</v>
      </c>
      <c r="FD132" s="144" t="str">
        <f t="shared" si="1081"/>
        <v>-</v>
      </c>
      <c r="FE132" s="110">
        <f>(FF:FF+FG:FG+FH:FH)^FE$3+FE$7</f>
        <v>5.5214340159859558</v>
      </c>
      <c r="FF132" s="136">
        <f t="shared" si="1020"/>
        <v>3.5003268438824313</v>
      </c>
      <c r="FG132" s="136">
        <f t="shared" si="1021"/>
        <v>0.85074090783986811</v>
      </c>
      <c r="FH132" s="136">
        <f t="shared" si="1022"/>
        <v>1.6703662642636565</v>
      </c>
      <c r="FI132" s="110">
        <f t="shared" si="1023"/>
        <v>1.7871048890689831</v>
      </c>
      <c r="FJ132" s="110">
        <f>IF(SeilBeregnet=0,"-",FJ$7*(FL:FL+FJ$6)*FO:FO*PropF+ErfaringsF+Dyp_F)</f>
        <v>0.91506034023555061</v>
      </c>
      <c r="FK132" s="144" t="str">
        <f t="shared" si="1082"/>
        <v>-</v>
      </c>
      <c r="FL132" s="110">
        <f>(FM:FM*FN:FN)^FL$3</f>
        <v>5.8468278739176922</v>
      </c>
      <c r="FM132" s="136">
        <f t="shared" si="1024"/>
        <v>3.5003268438824313</v>
      </c>
      <c r="FN132" s="136">
        <f t="shared" si="1025"/>
        <v>1.6703662642636565</v>
      </c>
      <c r="FO132" s="110">
        <f t="shared" si="1026"/>
        <v>1.7871048890689831</v>
      </c>
      <c r="FQ132">
        <v>0.95</v>
      </c>
      <c r="FR132" s="64">
        <f t="shared" si="970"/>
        <v>1.1378933081626499</v>
      </c>
      <c r="FS132" s="479"/>
      <c r="FT132" s="18"/>
      <c r="FU132" s="481"/>
      <c r="FV132" s="504"/>
      <c r="FW132" s="18"/>
      <c r="FX132" s="18"/>
      <c r="FY132" s="18"/>
      <c r="FZ132" s="18"/>
      <c r="GB132" s="18"/>
      <c r="GC132" s="481"/>
      <c r="GD132" s="8"/>
      <c r="GE132" s="8"/>
      <c r="GF132" s="8"/>
      <c r="GG132" s="8"/>
      <c r="GI132" s="18"/>
      <c r="GJ132" s="18"/>
      <c r="GK132" s="18"/>
      <c r="GL132" s="18"/>
      <c r="GM132" s="18"/>
      <c r="GN132" s="18"/>
      <c r="GO132" s="18"/>
      <c r="GP132" s="18"/>
    </row>
    <row r="133" spans="1:198" ht="15.6" x14ac:dyDescent="0.3">
      <c r="A133" s="62" t="s">
        <v>32</v>
      </c>
      <c r="B133" s="223"/>
      <c r="C133" s="14" t="str">
        <f>C131</f>
        <v>Gaffel</v>
      </c>
      <c r="G133" s="56"/>
      <c r="H133" s="209">
        <f>TBFavrundet</f>
        <v>92</v>
      </c>
      <c r="I133" s="65">
        <f>COUNTA(O133:AD133)</f>
        <v>3</v>
      </c>
      <c r="J133" s="228">
        <f>SUM(O133:AD133)</f>
        <v>84</v>
      </c>
      <c r="K133" s="119">
        <f>Seilareal/Depl^0.667/K$7</f>
        <v>1.2483365144664262</v>
      </c>
      <c r="L133" s="119">
        <f>Seilareal/Lwl/Lwl/L$7</f>
        <v>1.2250559284116334</v>
      </c>
      <c r="M133" s="95">
        <f>RiggF</f>
        <v>0.83690476190476182</v>
      </c>
      <c r="N133" s="265">
        <f>StHfaktor</f>
        <v>1.0042261726404875</v>
      </c>
      <c r="O133" s="147"/>
      <c r="P133" s="147"/>
      <c r="Q133" s="169">
        <v>24</v>
      </c>
      <c r="R133" s="147"/>
      <c r="S133" s="147"/>
      <c r="T133" s="169">
        <v>17</v>
      </c>
      <c r="U133" s="169">
        <v>43</v>
      </c>
      <c r="V133" s="148"/>
      <c r="W133" s="148"/>
      <c r="X133" s="148"/>
      <c r="Y133" s="147"/>
      <c r="Z133" s="147"/>
      <c r="AA133" s="147"/>
      <c r="AB133" s="147"/>
      <c r="AC133" s="147"/>
      <c r="AD133" s="147"/>
      <c r="AE133" s="260">
        <f t="shared" ref="AE133" si="1090">AE132</f>
        <v>10.55</v>
      </c>
      <c r="AF133" s="375">
        <f t="shared" si="1043"/>
        <v>0</v>
      </c>
      <c r="AG133" s="377"/>
      <c r="AH133" s="375">
        <f t="shared" si="1043"/>
        <v>0</v>
      </c>
      <c r="AI133" s="377"/>
      <c r="AJ133" s="295" t="str">
        <f t="shared" ref="AJ133" si="1091" xml:space="preserve"> AJ132</f>
        <v>Los</v>
      </c>
      <c r="AK133" s="47">
        <f>VLOOKUP(AJ133,Skrogform!$1:$1048576,3,FALSE)</f>
        <v>0.97</v>
      </c>
      <c r="AL133" s="66">
        <f t="shared" ref="AL133:AT133" si="1092">AL132</f>
        <v>11.3</v>
      </c>
      <c r="AM133" s="66">
        <f t="shared" si="1092"/>
        <v>10.199999999999999</v>
      </c>
      <c r="AN133" s="66">
        <f t="shared" si="1092"/>
        <v>4.05</v>
      </c>
      <c r="AO133" s="66">
        <f t="shared" si="1092"/>
        <v>1.8</v>
      </c>
      <c r="AP133" s="66">
        <f t="shared" si="1092"/>
        <v>15.24</v>
      </c>
      <c r="AQ133" s="66">
        <f t="shared" si="1092"/>
        <v>5.2</v>
      </c>
      <c r="AR133" s="66">
        <f t="shared" si="1092"/>
        <v>0.3</v>
      </c>
      <c r="AS133" s="284">
        <f t="shared" si="1092"/>
        <v>30</v>
      </c>
      <c r="AT133" s="284">
        <f t="shared" si="1092"/>
        <v>450</v>
      </c>
      <c r="AU133" s="284">
        <f t="shared" ref="AU133:AV133" si="1093">AU132</f>
        <v>200</v>
      </c>
      <c r="AV133" s="284">
        <f t="shared" si="1093"/>
        <v>200</v>
      </c>
      <c r="AW133" s="284"/>
      <c r="AX133" s="284">
        <f>AX132</f>
        <v>0</v>
      </c>
      <c r="AY133" s="68"/>
      <c r="AZ133" s="68"/>
      <c r="BA133" s="289"/>
      <c r="BB133" s="68"/>
      <c r="BC133" s="179"/>
      <c r="BD133" s="68"/>
      <c r="BE133" s="68"/>
      <c r="BF133" s="67" t="str">
        <f t="shared" ref="BF133:BH133" si="1094" xml:space="preserve"> BF132</f>
        <v>Seilrett</v>
      </c>
      <c r="BG133" s="295">
        <f t="shared" si="1094"/>
        <v>3</v>
      </c>
      <c r="BH133" s="295">
        <f t="shared" si="1094"/>
        <v>50</v>
      </c>
      <c r="BI133" s="47">
        <f t="shared" ref="BI133:BI164" si="1095">IF((BF133="Fast"),(1.006248-(0.06415*((BH133/100*SQRT(BG133))/POWER(AP133,(1/3))))),1)</f>
        <v>1</v>
      </c>
      <c r="BJ133" s="61"/>
      <c r="BK133" s="61"/>
      <c r="BM133" s="51">
        <f t="shared" si="1088"/>
        <v>0</v>
      </c>
      <c r="BN133" s="51">
        <f t="shared" si="1088"/>
        <v>0</v>
      </c>
      <c r="BO133" s="51">
        <f t="shared" si="1088"/>
        <v>24</v>
      </c>
      <c r="BP133" s="51">
        <f t="shared" si="1088"/>
        <v>0</v>
      </c>
      <c r="BQ133" s="51">
        <f t="shared" si="1088"/>
        <v>0</v>
      </c>
      <c r="BR133" s="51">
        <f t="shared" si="1088"/>
        <v>17</v>
      </c>
      <c r="BS133" s="52">
        <f>IF(COUNT(P133:T133)&gt;1,MINA(P133:T133)*BS$9,0)</f>
        <v>-5.0999999999999996</v>
      </c>
      <c r="BT133" s="88">
        <f t="shared" si="1089"/>
        <v>34.4</v>
      </c>
      <c r="BU133" s="88">
        <f t="shared" si="1089"/>
        <v>0</v>
      </c>
      <c r="BV133" s="88">
        <f t="shared" si="1089"/>
        <v>0</v>
      </c>
      <c r="BW133" s="88">
        <f t="shared" si="1089"/>
        <v>0</v>
      </c>
      <c r="BX133" s="88">
        <f t="shared" si="1089"/>
        <v>0</v>
      </c>
      <c r="BY133" s="88">
        <f t="shared" si="1089"/>
        <v>0</v>
      </c>
      <c r="BZ133" s="88">
        <f t="shared" si="1089"/>
        <v>0</v>
      </c>
      <c r="CA133" s="88">
        <f t="shared" si="1089"/>
        <v>0</v>
      </c>
      <c r="CB133" s="88">
        <f t="shared" si="1089"/>
        <v>0</v>
      </c>
      <c r="CC133" s="88">
        <f t="shared" si="1089"/>
        <v>0</v>
      </c>
      <c r="CD133" s="103">
        <f>SUM(BM133:CC133)</f>
        <v>70.3</v>
      </c>
      <c r="CE133" s="52"/>
      <c r="CF133" s="107">
        <f>J133</f>
        <v>84</v>
      </c>
      <c r="CG133" s="104">
        <f>CD133/CF133</f>
        <v>0.83690476190476182</v>
      </c>
      <c r="CH133" s="53">
        <f>Seilareal/Lwl/Lwl</f>
        <v>0.80738177623990792</v>
      </c>
      <c r="CI133" s="119">
        <f>Seilareal/Depl^0.667/K$7</f>
        <v>1.2483365144664262</v>
      </c>
      <c r="CJ133" s="53">
        <f>Seilareal/Lwl/Lwl/SApRS1</f>
        <v>1.2250559284116334</v>
      </c>
      <c r="CK133" s="209"/>
      <c r="CL133" s="209">
        <f>(ROUND(TBF/CL$6,3)*CL$6)*CL$4</f>
        <v>92</v>
      </c>
      <c r="CM133" s="110">
        <f t="shared" si="690"/>
        <v>0.92015622179776912</v>
      </c>
      <c r="CN133" s="64">
        <f>IF(SeilBeregnet=0,"-",(SeilBeregnet)^(1/2)*StHfaktor/(Depl+DeplTillegg/1000+Vann/1000+Diesel/1000*0.84)^(1/3))</f>
        <v>3.3549307180758507</v>
      </c>
      <c r="CO133" s="64">
        <f t="shared" si="659"/>
        <v>1.6292086998461313</v>
      </c>
      <c r="CP133" s="64">
        <f t="shared" si="660"/>
        <v>1.7871048890689831</v>
      </c>
      <c r="CQ133" s="110">
        <f t="shared" si="661"/>
        <v>1.0042261726404875</v>
      </c>
      <c r="CR133" s="172" t="str">
        <f t="shared" si="965"/>
        <v>-</v>
      </c>
      <c r="CS133" s="162"/>
      <c r="CT133" s="172" t="str">
        <f t="shared" si="966"/>
        <v>-</v>
      </c>
      <c r="CU133" s="164"/>
      <c r="CV133" s="195" t="s">
        <v>145</v>
      </c>
      <c r="CW133" s="64">
        <v>0.88</v>
      </c>
      <c r="CX133" s="64">
        <v>0.87</v>
      </c>
      <c r="CY133" s="64">
        <v>0.9</v>
      </c>
      <c r="CZ133" s="154" t="s">
        <v>111</v>
      </c>
      <c r="DA133" s="64">
        <f t="shared" ref="DA133:DA168" si="1096">IF(SeilBeregnet=0,"-",((Dypg/(Lwl+DA$6-Bredde*DA$5))^(1/DA$4)*5)*DA$3*DA$7)</f>
        <v>2.0246022142804243</v>
      </c>
      <c r="DB133" s="49">
        <f t="shared" ref="DB133:DB168" si="1097">(Dypg/(Lwl+Bredde+DB$8)*100)</f>
        <v>11.803278688524591</v>
      </c>
      <c r="DC133" s="50">
        <f t="shared" ref="DC133:DC168" si="1098">DB$7*IF(DB133&lt;DB$5,-0.04,IF(DB133&lt;DB$5*1.1,-0.03,IF(DB133&lt;DB$5*1.2,-0.02,IF(DB133&lt;DB$5*1.3,-0.01,0))))</f>
        <v>0</v>
      </c>
      <c r="DE133" s="110">
        <f>IF(SeilBeregnet=0,"-",DE$7*(DG:DG+DE$6)*DL:DL*PropF+ErfaringsF+Dyp_F)</f>
        <v>0.91196127659168802</v>
      </c>
      <c r="DF133" s="144" t="str">
        <f t="shared" si="1077"/>
        <v>-</v>
      </c>
      <c r="DG133" s="110">
        <f t="shared" ref="DG133:DG168" si="1099">SUM(DH133:DK133)^DG$3+DG$7</f>
        <v>5.0524843983380743</v>
      </c>
      <c r="DH133" s="136">
        <f>IF(SeilBeregnet=0,DH132,(SeilBeregnet^0.5/(Depl^0.3333))^DH$3*DH$7)</f>
        <v>3.382118134074418</v>
      </c>
      <c r="DI133" s="136">
        <f>IF(SeilBeregnet=0,DI132,(SeilBeregnet^0.5/Lwl)^DI$3*DI$7)</f>
        <v>0</v>
      </c>
      <c r="DJ133" s="136">
        <f>IF(SeilBeregnet=0,DJ132,(0.1*Loa/Depl^0.3333)^DJ$3*DJ$7)</f>
        <v>0</v>
      </c>
      <c r="DK133" s="136">
        <f>IF(SeilBeregnet=0,DK132,((Loa)/Bredde)^DK$3*DK$7)</f>
        <v>1.6703662642636565</v>
      </c>
      <c r="DL133" s="110">
        <f>IF(SeilBeregnet=0,DL132,(Lwl)^DL$3)</f>
        <v>1.7871048890689831</v>
      </c>
      <c r="DM133" s="136">
        <f>IF(SeilBeregnet=0,DM132,(Dypg/Loa)^DM$3*5*DM$7)</f>
        <v>1.9955703157132179</v>
      </c>
      <c r="DO133" s="110">
        <f t="shared" si="258"/>
        <v>0.94861466164718478</v>
      </c>
      <c r="DP133" s="110">
        <f t="shared" ref="DP133:DP168" si="1100">IF(SeilBeregnet=0,"-",DP$7*(DP$4*SeilBeregnet^0.5/(Depl^0.33333*Bredde*Lwl)^0.3333*((Loa*0.03+Lwl*0.07)^0.33)*PropF+DP$6)+ErfaringsF+Dyp_F)</f>
        <v>0.91676444564032489</v>
      </c>
      <c r="DR133" s="110">
        <f t="shared" ref="DR133:DR168" si="1101">IF(SeilBeregnet=0,"-",DR$7*(DR$4*SeilBeregnet^0.5/(Depl^0.33333*Bredde*Lwl)^0.3333*Lwl^0.3333*((Loa+Lwl)/Bredde/6)^0.25*PropF+DR$6)+ErfaringsF+Dyp_F)</f>
        <v>0.89872861905535817</v>
      </c>
      <c r="DS133" s="125" t="str">
        <f t="shared" si="1078"/>
        <v>-</v>
      </c>
      <c r="DT133" s="110">
        <f t="shared" ref="DT133:DT168" si="1102">IF(SeilBeregnet=0,"-",DT$7*(DT$4*DV133*DW133*DX133*PropF+DT$6)+ErfaringsF+Dyp_F)</f>
        <v>0.92319507102691156</v>
      </c>
      <c r="DU133" s="125" t="str">
        <f t="shared" si="1079"/>
        <v>-</v>
      </c>
      <c r="DV133" s="110">
        <f t="shared" si="214"/>
        <v>3.3818417664295817</v>
      </c>
      <c r="DW133" s="110">
        <f t="shared" si="215"/>
        <v>2.1685350061166324</v>
      </c>
      <c r="DX133" s="110">
        <f t="shared" si="1007"/>
        <v>1.5179094305190397</v>
      </c>
      <c r="DZ133" s="110">
        <f t="shared" ref="DZ133:DZ168" si="1103">IF(SeilBeregnet=0,"-",DZ$7*(DZ$4*EB133*EC133*ED133*PropF+DZ$6)+ErfaringsF+Dyp_F)</f>
        <v>0.91504813224117088</v>
      </c>
      <c r="EB133" s="110">
        <f t="shared" si="217"/>
        <v>3.3818417664295817</v>
      </c>
      <c r="EC133" s="110">
        <f t="shared" si="1008"/>
        <v>2.1686860967520136</v>
      </c>
      <c r="ED133" s="110">
        <f t="shared" si="1009"/>
        <v>1.7443634548832085</v>
      </c>
      <c r="EE133" s="110">
        <f t="shared" ref="EE133:EE168" si="1104">IF(SeilBeregnet=0,"-",EE$7*(EE$4*EG133+EE$6)*EJ133*PropF+ErfaringsF+Dyp_F)</f>
        <v>0.91777357639652135</v>
      </c>
      <c r="EG133" s="110">
        <f t="shared" si="1010"/>
        <v>5.1333295097866296</v>
      </c>
      <c r="EH133" s="110">
        <f t="shared" si="219"/>
        <v>3.3818417664295817</v>
      </c>
      <c r="EI133" s="110">
        <f t="shared" si="1011"/>
        <v>1.5179094305190397</v>
      </c>
      <c r="EJ133" s="110">
        <f t="shared" si="1012"/>
        <v>1.7871048890689831</v>
      </c>
      <c r="EK133" s="110">
        <f>IF(SeilBeregnet=0,"-",EK$7*(EK$4*EM:EM+EK$6)*EP:EP*PropF+ErfaringsF+Dyp_F)</f>
        <v>0.91696561178592506</v>
      </c>
      <c r="EM133" s="110">
        <f>IF(SeilBeregnet=0,EM132,(EN:EN*EO:EO)^EM$3)</f>
        <v>1.811050935811046</v>
      </c>
      <c r="EN133" s="110">
        <f t="shared" si="220"/>
        <v>3.3818417664295817</v>
      </c>
      <c r="EO133" s="110">
        <f t="shared" si="1013"/>
        <v>0.96985776350052699</v>
      </c>
      <c r="EP133" s="110">
        <f t="shared" si="1014"/>
        <v>1.8013872842666538</v>
      </c>
      <c r="EQ133" s="110">
        <f>IF(SeilBeregnet=0,"-",EQ$7*(ES:ES+EQ$6)*EV:EV*PropF+ErfaringsF+Dyp_F)</f>
        <v>0.89275741352226945</v>
      </c>
      <c r="ES133" s="110">
        <f>(ET:ET*EU:EU)^ES$3</f>
        <v>1.811124934787214</v>
      </c>
      <c r="ET133" s="110">
        <f t="shared" si="221"/>
        <v>3.382118134074418</v>
      </c>
      <c r="EU133" s="110">
        <f t="shared" si="1015"/>
        <v>0.96985776350052699</v>
      </c>
      <c r="EV133" s="110">
        <f t="shared" si="1016"/>
        <v>1.8013872842666538</v>
      </c>
      <c r="EW133" s="110">
        <f>IF(SeilBeregnet=0,"-",EW$7*(EY:EY+EW$6)*FB:FB*PropF+ErfaringsF+Dyp_F)</f>
        <v>0.89751577347695333</v>
      </c>
      <c r="EX133" s="144" t="str">
        <f t="shared" si="1080"/>
        <v>-</v>
      </c>
      <c r="EY133" s="110">
        <f>(EZ:EZ*FA:FA)^EY$3</f>
        <v>3.1813017631252634</v>
      </c>
      <c r="EZ133" s="136">
        <f t="shared" si="1017"/>
        <v>3.382118134074418</v>
      </c>
      <c r="FA133" s="136">
        <f t="shared" si="1018"/>
        <v>0.94062408142224407</v>
      </c>
      <c r="FB133" s="110">
        <f t="shared" si="1019"/>
        <v>1.0129945126155542</v>
      </c>
      <c r="FC133" s="110">
        <f>IF(SeilBeregnet=0,"-",FC$7*(FE:FE+FC$6)*FI:FI*PropF+ErfaringsF+Dyp_F)</f>
        <v>0.92205950728654451</v>
      </c>
      <c r="FD133" s="144" t="str">
        <f t="shared" si="1081"/>
        <v>-</v>
      </c>
      <c r="FE133" s="110">
        <f>(FF:FF+FG:FG+FH:FH)^FE$3+FE$7</f>
        <v>5.3744951362304114</v>
      </c>
      <c r="FF133" s="136">
        <f t="shared" si="1020"/>
        <v>3.382118134074418</v>
      </c>
      <c r="FG133" s="136">
        <f t="shared" si="1021"/>
        <v>0.8220107378923367</v>
      </c>
      <c r="FH133" s="136">
        <f t="shared" si="1022"/>
        <v>1.6703662642636565</v>
      </c>
      <c r="FI133" s="110">
        <f t="shared" si="1023"/>
        <v>1.7871048890689831</v>
      </c>
      <c r="FJ133" s="110">
        <f>IF(SeilBeregnet=0,"-",FJ$7*(FL:FL+FJ$6)*FO:FO*PropF+ErfaringsF+Dyp_F)</f>
        <v>0.89671124841389305</v>
      </c>
      <c r="FK133" s="144" t="str">
        <f t="shared" si="1082"/>
        <v>-</v>
      </c>
      <c r="FL133" s="110">
        <f>(FM:FM*FN:FN)^FL$3</f>
        <v>5.6493760329122544</v>
      </c>
      <c r="FM133" s="136">
        <f t="shared" si="1024"/>
        <v>3.382118134074418</v>
      </c>
      <c r="FN133" s="136">
        <f t="shared" si="1025"/>
        <v>1.6703662642636565</v>
      </c>
      <c r="FO133" s="110">
        <f t="shared" si="1026"/>
        <v>1.7871048890689831</v>
      </c>
      <c r="FQ133">
        <v>0.95</v>
      </c>
      <c r="FR133" s="64">
        <f t="shared" si="970"/>
        <v>1.119124440168848</v>
      </c>
      <c r="FS133" s="479"/>
      <c r="FT133" s="18"/>
      <c r="FU133" s="481"/>
      <c r="FV133" s="504"/>
      <c r="FW133" s="18"/>
      <c r="FX133" s="18"/>
      <c r="FY133" s="18"/>
      <c r="FZ133" s="18"/>
      <c r="GB133" s="18"/>
      <c r="GC133" s="481"/>
      <c r="GD133" s="8"/>
      <c r="GE133" s="8"/>
      <c r="GF133" s="8"/>
      <c r="GG133" s="8"/>
      <c r="GI133" s="18"/>
      <c r="GJ133" s="18"/>
      <c r="GK133" s="18"/>
      <c r="GL133" s="18"/>
      <c r="GM133" s="18"/>
      <c r="GN133" s="18"/>
      <c r="GO133" s="18"/>
      <c r="GP133" s="18"/>
    </row>
    <row r="134" spans="1:198" ht="15.6" x14ac:dyDescent="0.3">
      <c r="A134" s="62" t="s">
        <v>119</v>
      </c>
      <c r="B134" s="223"/>
      <c r="C134" s="14" t="str">
        <f>C132</f>
        <v>Gaffel</v>
      </c>
      <c r="G134" s="56"/>
      <c r="H134" s="209">
        <f>TBFavrundet</f>
        <v>87.999999999999986</v>
      </c>
      <c r="I134" s="65">
        <f>COUNTA(O134:AD134)</f>
        <v>3</v>
      </c>
      <c r="J134" s="228">
        <f>SUM(O134:AD134)</f>
        <v>74.400000000000006</v>
      </c>
      <c r="K134" s="119">
        <f>Seilareal/Depl^0.667/K$7</f>
        <v>1.1056694842416919</v>
      </c>
      <c r="L134" s="119">
        <f>Seilareal/Lwl/Lwl/L$7</f>
        <v>1.0850495365931609</v>
      </c>
      <c r="M134" s="95">
        <f>RiggF</f>
        <v>0.82634408602150522</v>
      </c>
      <c r="N134" s="265">
        <f>StHfaktor</f>
        <v>1.0042261726404875</v>
      </c>
      <c r="O134" s="147"/>
      <c r="P134" s="147"/>
      <c r="Q134" s="147"/>
      <c r="R134" s="169">
        <v>14.4</v>
      </c>
      <c r="S134" s="147"/>
      <c r="T134" s="169">
        <v>17</v>
      </c>
      <c r="U134" s="169">
        <v>43</v>
      </c>
      <c r="V134" s="148"/>
      <c r="W134" s="148"/>
      <c r="X134" s="148"/>
      <c r="Y134" s="147"/>
      <c r="Z134" s="147"/>
      <c r="AA134" s="147"/>
      <c r="AB134" s="147"/>
      <c r="AC134" s="147"/>
      <c r="AD134" s="147"/>
      <c r="AE134" s="260">
        <f t="shared" ref="AE134" si="1105">AE133</f>
        <v>10.55</v>
      </c>
      <c r="AF134" s="375">
        <f t="shared" si="1043"/>
        <v>0</v>
      </c>
      <c r="AG134" s="377"/>
      <c r="AH134" s="375">
        <f t="shared" si="1043"/>
        <v>0</v>
      </c>
      <c r="AI134" s="377"/>
      <c r="AJ134" s="295" t="str">
        <f t="shared" ref="AJ134" si="1106" xml:space="preserve"> AJ133</f>
        <v>Los</v>
      </c>
      <c r="AK134" s="47">
        <f>VLOOKUP(AJ134,Skrogform!$1:$1048576,3,FALSE)</f>
        <v>0.97</v>
      </c>
      <c r="AL134" s="66">
        <f t="shared" ref="AL134:AT134" si="1107">AL133</f>
        <v>11.3</v>
      </c>
      <c r="AM134" s="66">
        <f t="shared" si="1107"/>
        <v>10.199999999999999</v>
      </c>
      <c r="AN134" s="66">
        <f t="shared" si="1107"/>
        <v>4.05</v>
      </c>
      <c r="AO134" s="66">
        <f t="shared" si="1107"/>
        <v>1.8</v>
      </c>
      <c r="AP134" s="66">
        <f t="shared" si="1107"/>
        <v>15.24</v>
      </c>
      <c r="AQ134" s="66">
        <f t="shared" si="1107"/>
        <v>5.2</v>
      </c>
      <c r="AR134" s="66">
        <f t="shared" si="1107"/>
        <v>0.3</v>
      </c>
      <c r="AS134" s="284">
        <f t="shared" si="1107"/>
        <v>30</v>
      </c>
      <c r="AT134" s="284">
        <f t="shared" si="1107"/>
        <v>450</v>
      </c>
      <c r="AU134" s="284">
        <f t="shared" ref="AU134:AV134" si="1108">AU133</f>
        <v>200</v>
      </c>
      <c r="AV134" s="284">
        <f t="shared" si="1108"/>
        <v>200</v>
      </c>
      <c r="AW134" s="284"/>
      <c r="AX134" s="284">
        <f>AX133</f>
        <v>0</v>
      </c>
      <c r="AY134" s="68"/>
      <c r="AZ134" s="68"/>
      <c r="BA134" s="289"/>
      <c r="BB134" s="68"/>
      <c r="BC134" s="179"/>
      <c r="BD134" s="68"/>
      <c r="BE134" s="68"/>
      <c r="BF134" s="67" t="str">
        <f t="shared" ref="BF134:BH134" si="1109" xml:space="preserve"> BF133</f>
        <v>Seilrett</v>
      </c>
      <c r="BG134" s="295">
        <f t="shared" si="1109"/>
        <v>3</v>
      </c>
      <c r="BH134" s="295">
        <f t="shared" si="1109"/>
        <v>50</v>
      </c>
      <c r="BI134" s="47">
        <f t="shared" si="1095"/>
        <v>1</v>
      </c>
      <c r="BJ134" s="61"/>
      <c r="BK134" s="61"/>
      <c r="BM134" s="51">
        <f t="shared" si="1088"/>
        <v>0</v>
      </c>
      <c r="BN134" s="51">
        <f t="shared" si="1088"/>
        <v>0</v>
      </c>
      <c r="BO134" s="51">
        <f t="shared" si="1088"/>
        <v>0</v>
      </c>
      <c r="BP134" s="51">
        <f t="shared" si="1088"/>
        <v>14.4</v>
      </c>
      <c r="BQ134" s="51">
        <f t="shared" si="1088"/>
        <v>0</v>
      </c>
      <c r="BR134" s="51">
        <f t="shared" si="1088"/>
        <v>17</v>
      </c>
      <c r="BS134" s="52">
        <f>IF(COUNT(P134:T134)&gt;1,MINA(P134:T134)*BS$9,0)</f>
        <v>-4.32</v>
      </c>
      <c r="BT134" s="88">
        <f t="shared" si="1089"/>
        <v>34.4</v>
      </c>
      <c r="BU134" s="88">
        <f t="shared" si="1089"/>
        <v>0</v>
      </c>
      <c r="BV134" s="88">
        <f t="shared" si="1089"/>
        <v>0</v>
      </c>
      <c r="BW134" s="88">
        <f t="shared" si="1089"/>
        <v>0</v>
      </c>
      <c r="BX134" s="88">
        <f t="shared" si="1089"/>
        <v>0</v>
      </c>
      <c r="BY134" s="88">
        <f t="shared" si="1089"/>
        <v>0</v>
      </c>
      <c r="BZ134" s="88">
        <f t="shared" si="1089"/>
        <v>0</v>
      </c>
      <c r="CA134" s="88">
        <f t="shared" si="1089"/>
        <v>0</v>
      </c>
      <c r="CB134" s="88">
        <f t="shared" si="1089"/>
        <v>0</v>
      </c>
      <c r="CC134" s="88">
        <f t="shared" si="1089"/>
        <v>0</v>
      </c>
      <c r="CD134" s="103">
        <f>SUM(BM134:CC134)</f>
        <v>61.48</v>
      </c>
      <c r="CE134" s="52"/>
      <c r="CF134" s="107">
        <f>J134</f>
        <v>74.400000000000006</v>
      </c>
      <c r="CG134" s="104">
        <f>CD134/CF134</f>
        <v>0.82634408602150522</v>
      </c>
      <c r="CH134" s="53">
        <f>Seilareal/Lwl/Lwl</f>
        <v>0.71510957324106128</v>
      </c>
      <c r="CI134" s="119">
        <f>Seilareal/Depl^0.667/K$7</f>
        <v>1.1056694842416919</v>
      </c>
      <c r="CJ134" s="53">
        <f>Seilareal/Lwl/Lwl/SApRS1</f>
        <v>1.0850495365931609</v>
      </c>
      <c r="CK134" s="209"/>
      <c r="CL134" s="209">
        <f>(ROUND(TBF/CL$6,3)*CL$6)*CL$4</f>
        <v>87.999999999999986</v>
      </c>
      <c r="CM134" s="110">
        <f t="shared" si="690"/>
        <v>0.88000029014527426</v>
      </c>
      <c r="CN134" s="64">
        <f>IF(SeilBeregnet=0,"-",(SeilBeregnet)^(1/2)*StHfaktor/(Depl+DeplTillegg/1000+Vann/1000+Diesel/1000*0.84)^(1/3))</f>
        <v>3.1374211723363801</v>
      </c>
      <c r="CO134" s="64">
        <f t="shared" si="659"/>
        <v>1.6292086998461313</v>
      </c>
      <c r="CP134" s="64">
        <f t="shared" si="660"/>
        <v>1.7871048890689831</v>
      </c>
      <c r="CQ134" s="110">
        <f t="shared" si="661"/>
        <v>1.0042261726404875</v>
      </c>
      <c r="CR134" s="172" t="str">
        <f t="shared" si="965"/>
        <v>-</v>
      </c>
      <c r="CS134" s="162"/>
      <c r="CT134" s="172" t="str">
        <f t="shared" si="966"/>
        <v>-</v>
      </c>
      <c r="CU134" s="164"/>
      <c r="CV134" s="195" t="s">
        <v>145</v>
      </c>
      <c r="CW134" s="64">
        <v>0.78</v>
      </c>
      <c r="CX134" s="64">
        <v>0.81</v>
      </c>
      <c r="CY134" s="64">
        <v>0.81</v>
      </c>
      <c r="CZ134" s="154" t="s">
        <v>111</v>
      </c>
      <c r="DA134" s="64">
        <f t="shared" si="1096"/>
        <v>2.0246022142804243</v>
      </c>
      <c r="DB134" s="49">
        <f t="shared" si="1097"/>
        <v>11.803278688524591</v>
      </c>
      <c r="DC134" s="50">
        <f t="shared" si="1098"/>
        <v>0</v>
      </c>
      <c r="DE134" s="110">
        <f>IF(SeilBeregnet=0,"-",DE$7*(DG:DG+DE$6)*DL:DL*PropF+ErfaringsF+Dyp_F)</f>
        <v>0.87238317535599486</v>
      </c>
      <c r="DF134" s="144" t="str">
        <f t="shared" si="1077"/>
        <v>-</v>
      </c>
      <c r="DG134" s="110">
        <f t="shared" si="1099"/>
        <v>4.8332122163474827</v>
      </c>
      <c r="DH134" s="136">
        <f>IF(SeilBeregnet=0,DH133,(SeilBeregnet^0.5/(Depl^0.3333))^DH$3*DH$7)</f>
        <v>3.1628459520838264</v>
      </c>
      <c r="DI134" s="136">
        <f>IF(SeilBeregnet=0,DI133,(SeilBeregnet^0.5/Lwl)^DI$3*DI$7)</f>
        <v>0</v>
      </c>
      <c r="DJ134" s="136">
        <f>IF(SeilBeregnet=0,DJ133,(0.1*Loa/Depl^0.3333)^DJ$3*DJ$7)</f>
        <v>0</v>
      </c>
      <c r="DK134" s="136">
        <f>IF(SeilBeregnet=0,DK133,((Loa)/Bredde)^DK$3*DK$7)</f>
        <v>1.6703662642636565</v>
      </c>
      <c r="DL134" s="110">
        <f>IF(SeilBeregnet=0,DL133,(Lwl)^DL$3)</f>
        <v>1.7871048890689831</v>
      </c>
      <c r="DM134" s="136">
        <f>IF(SeilBeregnet=0,DM133,(Dypg/Loa)^DM$3*5*DM$7)</f>
        <v>1.9955703157132179</v>
      </c>
      <c r="DO134" s="110">
        <f t="shared" si="258"/>
        <v>0.9072167939642003</v>
      </c>
      <c r="DP134" s="110">
        <f t="shared" si="1100"/>
        <v>0.87012030939004603</v>
      </c>
      <c r="DR134" s="110">
        <f t="shared" si="1101"/>
        <v>0.8622406250900716</v>
      </c>
      <c r="DS134" s="125" t="str">
        <f t="shared" si="1078"/>
        <v>-</v>
      </c>
      <c r="DT134" s="110">
        <f t="shared" si="1102"/>
        <v>0.87796806193587507</v>
      </c>
      <c r="DU134" s="125" t="str">
        <f t="shared" si="1079"/>
        <v>-</v>
      </c>
      <c r="DV134" s="110">
        <f t="shared" si="214"/>
        <v>3.1625875021266974</v>
      </c>
      <c r="DW134" s="110">
        <f t="shared" si="215"/>
        <v>2.1685350061166324</v>
      </c>
      <c r="DX134" s="110">
        <f t="shared" si="1007"/>
        <v>1.5179094305190397</v>
      </c>
      <c r="DZ134" s="110">
        <f t="shared" si="1103"/>
        <v>0.8746631739891404</v>
      </c>
      <c r="EB134" s="110">
        <f t="shared" si="217"/>
        <v>3.1625875021266974</v>
      </c>
      <c r="EC134" s="110">
        <f t="shared" si="1008"/>
        <v>2.1686860967520136</v>
      </c>
      <c r="ED134" s="110">
        <f t="shared" si="1009"/>
        <v>1.7443634548832085</v>
      </c>
      <c r="EE134" s="110">
        <f t="shared" si="1104"/>
        <v>0.87495451217598397</v>
      </c>
      <c r="EG134" s="110">
        <f t="shared" si="1010"/>
        <v>4.8005213943197678</v>
      </c>
      <c r="EH134" s="110">
        <f t="shared" si="219"/>
        <v>3.1625875021266974</v>
      </c>
      <c r="EI134" s="110">
        <f t="shared" si="1011"/>
        <v>1.5179094305190397</v>
      </c>
      <c r="EJ134" s="110">
        <f t="shared" si="1012"/>
        <v>1.7871048890689831</v>
      </c>
      <c r="EK134" s="110">
        <f>IF(SeilBeregnet=0,"-",EK$7*(EK$4*EM:EM+EK$6)*EP:EP*PropF+ErfaringsF+Dyp_F)</f>
        <v>0.87521665507753632</v>
      </c>
      <c r="EM134" s="110">
        <f>IF(SeilBeregnet=0,EM133,(EN:EN*EO:EO)^EM$3)</f>
        <v>1.7513594838545616</v>
      </c>
      <c r="EN134" s="110">
        <f t="shared" si="220"/>
        <v>3.1625875021266974</v>
      </c>
      <c r="EO134" s="110">
        <f t="shared" si="1013"/>
        <v>0.96985776350052699</v>
      </c>
      <c r="EP134" s="110">
        <f t="shared" si="1014"/>
        <v>1.8013872842666538</v>
      </c>
      <c r="EQ134" s="110">
        <f>IF(SeilBeregnet=0,"-",EQ$7*(ES:ES+EQ$6)*EV:EV*PropF+ErfaringsF+Dyp_F)</f>
        <v>0.86333251706887681</v>
      </c>
      <c r="ES134" s="110">
        <f>(ET:ET*EU:EU)^ES$3</f>
        <v>1.7514310438566272</v>
      </c>
      <c r="ET134" s="110">
        <f t="shared" si="221"/>
        <v>3.1628459520838264</v>
      </c>
      <c r="EU134" s="110">
        <f t="shared" si="1015"/>
        <v>0.96985776350052699</v>
      </c>
      <c r="EV134" s="110">
        <f t="shared" si="1016"/>
        <v>1.8013872842666538</v>
      </c>
      <c r="EW134" s="110">
        <f>IF(SeilBeregnet=0,"-",EW$7*(EY:EY+EW$6)*FB:FB*PropF+ErfaringsF+Dyp_F)</f>
        <v>0.86178825646716017</v>
      </c>
      <c r="EX134" s="144" t="str">
        <f t="shared" si="1080"/>
        <v>-</v>
      </c>
      <c r="EY134" s="110">
        <f>(EZ:EZ*FA:FA)^EY$3</f>
        <v>2.9750490683589121</v>
      </c>
      <c r="EZ134" s="136">
        <f t="shared" si="1017"/>
        <v>3.1628459520838264</v>
      </c>
      <c r="FA134" s="136">
        <f t="shared" si="1018"/>
        <v>0.94062408142224407</v>
      </c>
      <c r="FB134" s="110">
        <f t="shared" si="1019"/>
        <v>1.0129945126155542</v>
      </c>
      <c r="FC134" s="110">
        <f>IF(SeilBeregnet=0,"-",FC$7*(FE:FE+FC$6)*FI:FI*PropF+ErfaringsF+Dyp_F)</f>
        <v>0.87529761668220774</v>
      </c>
      <c r="FD134" s="144" t="str">
        <f t="shared" si="1081"/>
        <v>-</v>
      </c>
      <c r="FE134" s="110">
        <f>(FF:FF+FG:FG+FH:FH)^FE$3+FE$7</f>
        <v>5.1019296980695481</v>
      </c>
      <c r="FF134" s="136">
        <f t="shared" si="1020"/>
        <v>3.1628459520838264</v>
      </c>
      <c r="FG134" s="136">
        <f t="shared" si="1021"/>
        <v>0.76871748172206511</v>
      </c>
      <c r="FH134" s="136">
        <f t="shared" si="1022"/>
        <v>1.6703662642636565</v>
      </c>
      <c r="FI134" s="110">
        <f t="shared" si="1023"/>
        <v>1.7871048890689831</v>
      </c>
      <c r="FJ134" s="110">
        <f>IF(SeilBeregnet=0,"-",FJ$7*(FL:FL+FJ$6)*FO:FO*PropF+ErfaringsF+Dyp_F)</f>
        <v>0.86267445528912945</v>
      </c>
      <c r="FK134" s="144" t="str">
        <f t="shared" si="1082"/>
        <v>-</v>
      </c>
      <c r="FL134" s="110">
        <f>(FM:FM*FN:FN)^FL$3</f>
        <v>5.283111177423689</v>
      </c>
      <c r="FM134" s="136">
        <f t="shared" si="1024"/>
        <v>3.1628459520838264</v>
      </c>
      <c r="FN134" s="136">
        <f t="shared" si="1025"/>
        <v>1.6703662642636565</v>
      </c>
      <c r="FO134" s="110">
        <f t="shared" si="1026"/>
        <v>1.7871048890689831</v>
      </c>
      <c r="FQ134">
        <v>0.95</v>
      </c>
      <c r="FR134" s="64">
        <f t="shared" si="970"/>
        <v>1.0843089799106453</v>
      </c>
      <c r="FS134" s="479"/>
      <c r="FT134" s="18"/>
      <c r="FU134" s="481"/>
      <c r="FV134" s="504"/>
      <c r="FW134" s="18"/>
      <c r="FX134" s="18"/>
      <c r="FY134" s="18"/>
      <c r="FZ134" s="18"/>
      <c r="GB134" s="18"/>
      <c r="GC134" s="481"/>
      <c r="GD134" s="8"/>
      <c r="GE134" s="8"/>
      <c r="GF134" s="8"/>
      <c r="GG134" s="8"/>
      <c r="GI134" s="18"/>
      <c r="GJ134" s="18"/>
      <c r="GK134" s="18"/>
      <c r="GL134" s="18"/>
      <c r="GM134" s="18"/>
      <c r="GN134" s="18"/>
      <c r="GO134" s="18"/>
      <c r="GP134" s="18"/>
    </row>
    <row r="135" spans="1:198" ht="15.6" x14ac:dyDescent="0.3">
      <c r="A135" s="54" t="s">
        <v>55</v>
      </c>
      <c r="B135" s="223">
        <f t="shared" si="199"/>
        <v>34.940944881889763</v>
      </c>
      <c r="C135" s="55" t="s">
        <v>22</v>
      </c>
      <c r="D135" s="55"/>
      <c r="E135" s="55"/>
      <c r="F135" s="55"/>
      <c r="G135" s="56"/>
      <c r="H135" s="209"/>
      <c r="I135" s="126" t="str">
        <f>A135</f>
        <v>Else</v>
      </c>
      <c r="J135" s="229"/>
      <c r="K135" s="119"/>
      <c r="L135" s="119"/>
      <c r="M135" s="95"/>
      <c r="N135" s="265"/>
      <c r="O135" s="169"/>
      <c r="P135" s="169"/>
      <c r="Q135" s="169">
        <v>22.4</v>
      </c>
      <c r="R135" s="169">
        <v>11.4</v>
      </c>
      <c r="S135" s="169"/>
      <c r="T135" s="169">
        <v>17</v>
      </c>
      <c r="U135" s="169">
        <v>39.200000000000003</v>
      </c>
      <c r="V135" s="181">
        <f>StorS-StorS/6</f>
        <v>32.666666666666671</v>
      </c>
      <c r="W135" s="181">
        <f>StorS-StorS/6*1.9</f>
        <v>26.786666666666669</v>
      </c>
      <c r="X135" s="169"/>
      <c r="Y135" s="169">
        <v>11</v>
      </c>
      <c r="Z135" s="169"/>
      <c r="AA135" s="169"/>
      <c r="AB135" s="169"/>
      <c r="AC135" s="169"/>
      <c r="AD135" s="169"/>
      <c r="AE135" s="270">
        <v>9.85</v>
      </c>
      <c r="AF135" s="296"/>
      <c r="AG135" s="377"/>
      <c r="AH135" s="296"/>
      <c r="AI135" s="377"/>
      <c r="AJ135" s="296" t="s">
        <v>247</v>
      </c>
      <c r="AK135" s="47">
        <f>VLOOKUP(AJ135,Skrogform!$1:$1048576,3,FALSE)</f>
        <v>0.97</v>
      </c>
      <c r="AL135" s="57">
        <v>10.65</v>
      </c>
      <c r="AM135" s="57">
        <v>9.4</v>
      </c>
      <c r="AN135" s="57">
        <v>3.6</v>
      </c>
      <c r="AO135" s="57">
        <v>1.95</v>
      </c>
      <c r="AP135" s="57">
        <v>14</v>
      </c>
      <c r="AQ135" s="57">
        <v>5</v>
      </c>
      <c r="AR135" s="57"/>
      <c r="AS135" s="281">
        <v>30</v>
      </c>
      <c r="AT135" s="281">
        <v>450</v>
      </c>
      <c r="AU135" s="281">
        <f>ROUND(Depl*10,-2)</f>
        <v>100</v>
      </c>
      <c r="AV135" s="281">
        <f>ROUND(Depl*10,-2)</f>
        <v>100</v>
      </c>
      <c r="AW135" s="270">
        <f>Depl+Diesel/1000+Vann/1000</f>
        <v>14.2</v>
      </c>
      <c r="AX135" s="281"/>
      <c r="AY135" s="98">
        <f>Bredde/(Loa+Lwl)*2</f>
        <v>0.35910224438902744</v>
      </c>
      <c r="AZ135" s="98">
        <f>(Kjøl+Ballast)/Depl</f>
        <v>0.35714285714285715</v>
      </c>
      <c r="BA135" s="288">
        <f>BA$7*((Depl-Kjøl-Ballast-VektMotor/1000-VektAnnet/1000)/Loa/Lwl/Bredde)</f>
        <v>1.026484192547265</v>
      </c>
      <c r="BB135" s="98">
        <f>BB$7*(Depl/Loa/Lwl/Lwl)</f>
        <v>1.1171484315581128</v>
      </c>
      <c r="BC135" s="178">
        <f>BC$7*(Depl/Loa/Lwl/Bredde)</f>
        <v>1.078222883399689</v>
      </c>
      <c r="BD135" s="98">
        <f>BD$7*Bredde/(Loa+Lwl)*2</f>
        <v>1.0244067251226772</v>
      </c>
      <c r="BE135" s="98">
        <f>BE$7*(Dypg/Lwl)</f>
        <v>1.1346438482886216</v>
      </c>
      <c r="BF135" s="58" t="s">
        <v>24</v>
      </c>
      <c r="BG135" s="296">
        <v>3</v>
      </c>
      <c r="BH135" s="296">
        <v>60</v>
      </c>
      <c r="BI135" s="47">
        <f t="shared" si="1095"/>
        <v>1</v>
      </c>
      <c r="BJ135" s="61"/>
      <c r="BK135" s="61"/>
      <c r="BM135" s="214"/>
      <c r="BN135" s="214" t="str">
        <f>$A135</f>
        <v>Else</v>
      </c>
      <c r="BO135" s="10"/>
      <c r="BP135" s="10"/>
      <c r="BQ135" s="10"/>
      <c r="BR135" s="10"/>
      <c r="BS135" s="52"/>
      <c r="BT135" s="214" t="str">
        <f>$A135</f>
        <v>Else</v>
      </c>
      <c r="BU135" s="10"/>
      <c r="BV135" s="10"/>
      <c r="BW135" s="10"/>
      <c r="BX135" s="10"/>
      <c r="BY135" s="10"/>
      <c r="BZ135" s="10"/>
      <c r="CA135" s="10"/>
      <c r="CB135" s="10"/>
      <c r="CC135" s="10"/>
      <c r="CD135" s="214"/>
      <c r="CE135" s="10"/>
      <c r="CF135" s="214" t="str">
        <f>$A135</f>
        <v>Else</v>
      </c>
      <c r="CG135" s="212"/>
      <c r="CH135" s="212"/>
      <c r="CI135" s="119"/>
      <c r="CJ135" s="212"/>
      <c r="CK135" s="208"/>
      <c r="CL135" s="208" t="s">
        <v>26</v>
      </c>
      <c r="CM135" s="110" t="str">
        <f t="shared" si="690"/>
        <v>-</v>
      </c>
      <c r="CN135" s="64" t="str">
        <f>IF(SeilBeregnet=0,"-",(SeilBeregnet)^(1/2)*StHfaktor/(Depl+DeplTillegg/1000+Vann/1000+Diesel/1000*0.84)^(1/3))</f>
        <v>-</v>
      </c>
      <c r="CO135" s="64" t="str">
        <f t="shared" si="659"/>
        <v>-</v>
      </c>
      <c r="CP135" s="64" t="str">
        <f t="shared" si="660"/>
        <v>-</v>
      </c>
      <c r="CQ135" s="110" t="str">
        <f t="shared" si="661"/>
        <v>-</v>
      </c>
      <c r="CR135" s="172">
        <f t="shared" si="965"/>
        <v>0.90070588235294125</v>
      </c>
      <c r="CS135" s="162">
        <v>0.87</v>
      </c>
      <c r="CT135" s="172" t="str">
        <f t="shared" si="966"/>
        <v>-</v>
      </c>
      <c r="CU135" s="164">
        <v>1.17</v>
      </c>
      <c r="CV135" s="195" t="s">
        <v>145</v>
      </c>
      <c r="CW135" s="30" t="s">
        <v>26</v>
      </c>
      <c r="CX135" s="30" t="s">
        <v>26</v>
      </c>
      <c r="CY135" s="30" t="s">
        <v>26</v>
      </c>
      <c r="CZ135" s="153">
        <v>2022</v>
      </c>
      <c r="DA135" s="64" t="str">
        <f t="shared" si="1096"/>
        <v>-</v>
      </c>
      <c r="DB135" s="49">
        <f t="shared" si="1097"/>
        <v>13.928571428571429</v>
      </c>
      <c r="DC135" s="50">
        <f t="shared" si="1098"/>
        <v>0</v>
      </c>
      <c r="DE135" s="110" t="str">
        <f>IF(SeilBeregnet=0,"-",DE$7*(DG:DG+DE$6)*DL:DL*PropF+ErfaringsF+Dyp_F)</f>
        <v>-</v>
      </c>
      <c r="DF135" s="144" t="str">
        <f t="shared" si="248"/>
        <v>-</v>
      </c>
      <c r="DG135" s="110" t="e">
        <f t="shared" si="1099"/>
        <v>#REF!</v>
      </c>
      <c r="DH135" s="136" t="e">
        <f>IF(SeilBeregnet=0,#REF!,(SeilBeregnet^0.5/(Depl^0.3333))^DH$3*DH$7)</f>
        <v>#REF!</v>
      </c>
      <c r="DI135" s="136" t="e">
        <f>IF(SeilBeregnet=0,#REF!,(SeilBeregnet^0.5/Lwl)^DI$3*DI$7)</f>
        <v>#REF!</v>
      </c>
      <c r="DJ135" s="136" t="e">
        <f>IF(SeilBeregnet=0,#REF!,(0.1*Loa/Depl^0.3333)^DJ$3*DJ$7)</f>
        <v>#REF!</v>
      </c>
      <c r="DK135" s="136" t="e">
        <f>IF(SeilBeregnet=0,#REF!,((Loa)/Bredde)^DK$3*DK$7)</f>
        <v>#REF!</v>
      </c>
      <c r="DL135" s="110" t="e">
        <f>IF(SeilBeregnet=0,#REF!,(Lwl)^DL$3)</f>
        <v>#REF!</v>
      </c>
      <c r="DM135" s="136" t="e">
        <f>IF(SeilBeregnet=0,#REF!,(Dypg/Loa)^DM$3*5*DM$7)</f>
        <v>#REF!</v>
      </c>
      <c r="DO135" s="110" t="str">
        <f t="shared" si="344"/>
        <v>-</v>
      </c>
      <c r="DP135" s="110" t="str">
        <f t="shared" si="1100"/>
        <v>-</v>
      </c>
      <c r="DR135" s="110" t="str">
        <f t="shared" si="1101"/>
        <v>-</v>
      </c>
      <c r="DS135" s="125" t="str">
        <f t="shared" si="249"/>
        <v>-</v>
      </c>
      <c r="DT135" s="110" t="str">
        <f t="shared" si="1102"/>
        <v>-</v>
      </c>
      <c r="DU135" s="125" t="str">
        <f t="shared" si="250"/>
        <v>-</v>
      </c>
      <c r="DV135" s="110" t="e">
        <f>IF(SeilBeregnet=0,#REF!,SeilBeregnet^0.5/Depl^0.33333)</f>
        <v>#REF!</v>
      </c>
      <c r="DW135" s="110" t="e">
        <f>IF(SeilBeregnet=0,#REF!,Lwl^0.3333)</f>
        <v>#REF!</v>
      </c>
      <c r="DX135" s="110" t="e">
        <f>IF(SeilBeregnet=0,#REF!,((Loa+Lwl)/Bredde)^DX$3)</f>
        <v>#REF!</v>
      </c>
      <c r="DZ135" s="110" t="str">
        <f t="shared" si="1103"/>
        <v>-</v>
      </c>
      <c r="EB135" s="110" t="e">
        <f>IF(SeilBeregnet=0,#REF!,SeilBeregnet^0.5/Depl^0.33333)</f>
        <v>#REF!</v>
      </c>
      <c r="EC135" s="110" t="e">
        <f>IF(SeilBeregnet=0,#REF!,Lwl^EC$3)</f>
        <v>#REF!</v>
      </c>
      <c r="ED135" s="110" t="e">
        <f>IF(SeilBeregnet=0,#REF!,((Loa+Lwl)/Bredde)^ED$3)</f>
        <v>#REF!</v>
      </c>
      <c r="EE135" s="110" t="str">
        <f t="shared" si="1104"/>
        <v>-</v>
      </c>
      <c r="EG135" s="110" t="e">
        <f>IF(SeilBeregnet=0,#REF!,(EH135*EI135)^EG$3)</f>
        <v>#REF!</v>
      </c>
      <c r="EH135" s="110" t="e">
        <f>IF(SeilBeregnet=0,#REF!,SeilBeregnet^0.5/Depl^0.33333)</f>
        <v>#REF!</v>
      </c>
      <c r="EI135" s="110" t="e">
        <f>IF(SeilBeregnet=0,#REF!,((Loa+Lwl)/Bredde)^EI$3)</f>
        <v>#REF!</v>
      </c>
      <c r="EJ135" s="110" t="e">
        <f>IF(SeilBeregnet=0,#REF!,Lwl^EJ$3)</f>
        <v>#REF!</v>
      </c>
      <c r="EK135" s="110" t="str">
        <f>IF(SeilBeregnet=0,"-",EK$7*(EK$4*EM:EM+EK$6)*EP:EP*PropF+ErfaringsF+Dyp_F)</f>
        <v>-</v>
      </c>
      <c r="EM135" s="110" t="e">
        <f>IF(SeilBeregnet=0,#REF!,(EN:EN*EO:EO)^EM$3)</f>
        <v>#REF!</v>
      </c>
      <c r="EN135" s="110" t="e">
        <f>IF(SeilBeregnet=0,#REF!,SeilBeregnet^0.5/Depl^0.33333)</f>
        <v>#REF!</v>
      </c>
      <c r="EO135" s="110" t="e">
        <f>IF(SeilBeregnet=0,#REF!,((Loa+Lwl)/Bredde/6)^EO$3)</f>
        <v>#REF!</v>
      </c>
      <c r="EP135" s="110" t="e">
        <f>IF(SeilBeregnet=0,#REF!,(Lwl*0.7+Loa*0.3)^EP$3)</f>
        <v>#REF!</v>
      </c>
      <c r="EQ135" s="110" t="str">
        <f>IF(SeilBeregnet=0,"-",EQ$7*(ES:ES+EQ$6)*EV:EV*PropF+ErfaringsF+Dyp_F)</f>
        <v>-</v>
      </c>
      <c r="ES135" s="110" t="e">
        <f>(ET:ET*EU:EU)^ES$3</f>
        <v>#REF!</v>
      </c>
      <c r="ET135" s="110" t="e">
        <f>IF(SeilBeregnet=0,#REF!,SeilBeregnet^0.5/Depl^0.3333)</f>
        <v>#REF!</v>
      </c>
      <c r="EU135" s="110" t="e">
        <f>IF(SeilBeregnet=0,#REF!,((Loa+Lwl)/Bredde/6)^EU$3)</f>
        <v>#REF!</v>
      </c>
      <c r="EV135" s="110" t="e">
        <f>IF(SeilBeregnet=0,#REF!,(Lwl*0.7+Loa*0.3)^EV$3)</f>
        <v>#REF!</v>
      </c>
      <c r="EW135" s="110" t="str">
        <f>IF(SeilBeregnet=0,"-",EW$7*(EY:EY+EW$6)*FB:FB*PropF+ErfaringsF+Dyp_F)</f>
        <v>-</v>
      </c>
      <c r="EX135" s="144" t="str">
        <f t="shared" si="237"/>
        <v>-</v>
      </c>
      <c r="EY135" s="110" t="e">
        <f>(EZ:EZ*FA:FA)^EY$3</f>
        <v>#REF!</v>
      </c>
      <c r="EZ135" s="136" t="e">
        <f>IF(SeilBeregnet=0,#REF!,(SeilBeregnet^0.5/(Depl^0.3333))^EZ$3)</f>
        <v>#REF!</v>
      </c>
      <c r="FA135" s="136" t="e">
        <f>IF(SeilBeregnet=0,#REF!,((Loa+Lwl)/Bredde/6)^FA$3)</f>
        <v>#REF!</v>
      </c>
      <c r="FB135" s="110" t="e">
        <f>IF(SeilBeregnet=0,#REF!,(Lwl*0.07+Loa*0.03)^FB$3)</f>
        <v>#REF!</v>
      </c>
      <c r="FC135" s="110" t="str">
        <f>IF(SeilBeregnet=0,"-",FC$7*(FE:FE+FC$6)*FI:FI*PropF+ErfaringsF+Dyp_F)</f>
        <v>-</v>
      </c>
      <c r="FD135" s="144" t="str">
        <f t="shared" si="238"/>
        <v>-</v>
      </c>
      <c r="FE135" s="110" t="e">
        <f>(FF:FF+FG:FG+FH:FH)^FE$3+FE$7</f>
        <v>#REF!</v>
      </c>
      <c r="FF135" s="136" t="e">
        <f>IF(SeilBeregnet=0,#REF!,(SeilBeregnet^0.5/(Depl^0.3333))^FF$3)</f>
        <v>#REF!</v>
      </c>
      <c r="FG135" s="136" t="e">
        <f>IF(SeilBeregnet=0,#REF!,(SeilBeregnet^0.5/Lwl*FG$7)^FG$3)</f>
        <v>#REF!</v>
      </c>
      <c r="FH135" s="136" t="e">
        <f>IF(SeilBeregnet=0,#REF!,((Loa)/Bredde)^FH$3*FH$7)</f>
        <v>#REF!</v>
      </c>
      <c r="FI135" s="110" t="e">
        <f>IF(SeilBeregnet=0,#REF!,(Lwl)^FI$3)</f>
        <v>#REF!</v>
      </c>
      <c r="FJ135" s="110" t="str">
        <f>IF(SeilBeregnet=0,"-",FJ$7*(FL:FL+FJ$6)*FO:FO*PropF+ErfaringsF+Dyp_F)</f>
        <v>-</v>
      </c>
      <c r="FK135" s="144" t="str">
        <f t="shared" si="239"/>
        <v>-</v>
      </c>
      <c r="FL135" s="110" t="e">
        <f>(FM:FM*FN:FN)^FL$3</f>
        <v>#REF!</v>
      </c>
      <c r="FM135" s="136" t="e">
        <f>IF(SeilBeregnet=0,#REF!,(SeilBeregnet^0.5/(Depl^0.3333))^FM$3)</f>
        <v>#REF!</v>
      </c>
      <c r="FN135" s="136" t="e">
        <f>IF(SeilBeregnet=0,#REF!,(Loa/Bredde)^FN$3)</f>
        <v>#REF!</v>
      </c>
      <c r="FO135" s="110" t="e">
        <f>IF(SeilBeregnet=0,#REF!,Lwl^FO$3)</f>
        <v>#REF!</v>
      </c>
      <c r="FQ135">
        <v>0.95</v>
      </c>
      <c r="FR135" s="64" t="str">
        <f t="shared" si="970"/>
        <v>-</v>
      </c>
      <c r="FS135" s="480"/>
      <c r="FT135" s="59"/>
      <c r="FU135" s="475"/>
      <c r="FV135" s="506" t="s">
        <v>212</v>
      </c>
      <c r="FW135" s="476"/>
      <c r="FX135" s="476"/>
      <c r="FY135" s="476"/>
      <c r="FZ135" s="476"/>
      <c r="GB135" s="59" t="s">
        <v>522</v>
      </c>
      <c r="GC135" s="475" t="s">
        <v>522</v>
      </c>
      <c r="GD135" s="60" t="s">
        <v>522</v>
      </c>
      <c r="GE135" s="60" t="s">
        <v>522</v>
      </c>
      <c r="GF135" s="60" t="s">
        <v>522</v>
      </c>
      <c r="GG135" s="60" t="s">
        <v>522</v>
      </c>
      <c r="GI135" s="476"/>
      <c r="GJ135" s="476"/>
      <c r="GK135" s="476"/>
      <c r="GL135" s="476"/>
      <c r="GM135" s="476"/>
      <c r="GN135" s="476"/>
      <c r="GO135" s="476"/>
      <c r="GP135" s="476"/>
    </row>
    <row r="136" spans="1:198" ht="15.6" x14ac:dyDescent="0.3">
      <c r="A136" s="62" t="s">
        <v>31</v>
      </c>
      <c r="B136" s="223"/>
      <c r="C136" s="63" t="str">
        <f>C135</f>
        <v>Gaffel</v>
      </c>
      <c r="D136" s="63"/>
      <c r="E136" s="63"/>
      <c r="F136" s="63"/>
      <c r="G136" s="56"/>
      <c r="H136" s="209">
        <f>TBFavrundet</f>
        <v>93.5</v>
      </c>
      <c r="I136" s="65">
        <f>COUNTA(O136:AD136)</f>
        <v>4</v>
      </c>
      <c r="J136" s="228">
        <f>SUM(O136:AD136)</f>
        <v>89.6</v>
      </c>
      <c r="K136" s="119">
        <f>Seilareal/Depl^0.667/K$7</f>
        <v>1.409106995057112</v>
      </c>
      <c r="L136" s="119">
        <f>Seilareal/Lwl/Lwl/L$7</f>
        <v>1.5386125702966202</v>
      </c>
      <c r="M136" s="95">
        <f>RiggF</f>
        <v>0.79419642857142858</v>
      </c>
      <c r="N136" s="265">
        <f>StHfaktor</f>
        <v>1.0058623373751678</v>
      </c>
      <c r="O136" s="147"/>
      <c r="P136" s="147"/>
      <c r="Q136" s="169">
        <v>22.4</v>
      </c>
      <c r="R136" s="147"/>
      <c r="S136" s="147"/>
      <c r="T136" s="169">
        <v>17</v>
      </c>
      <c r="U136" s="169">
        <v>39.200000000000003</v>
      </c>
      <c r="V136" s="148"/>
      <c r="W136" s="148"/>
      <c r="X136" s="148"/>
      <c r="Y136" s="169">
        <v>11</v>
      </c>
      <c r="Z136" s="147"/>
      <c r="AA136" s="147"/>
      <c r="AB136" s="147"/>
      <c r="AC136" s="147"/>
      <c r="AD136" s="147"/>
      <c r="AE136" s="260">
        <f t="shared" ref="AE136:AE140" si="1110">AE135</f>
        <v>9.85</v>
      </c>
      <c r="AF136" s="375">
        <f t="shared" si="1043"/>
        <v>0</v>
      </c>
      <c r="AG136" s="377"/>
      <c r="AH136" s="375">
        <f t="shared" si="1043"/>
        <v>0</v>
      </c>
      <c r="AI136" s="377"/>
      <c r="AJ136" s="295" t="str">
        <f t="shared" ref="AJ136" si="1111" xml:space="preserve"> AJ135</f>
        <v>los</v>
      </c>
      <c r="AK136" s="47">
        <f>VLOOKUP(AJ136,Skrogform!$1:$1048576,3,FALSE)</f>
        <v>0.97</v>
      </c>
      <c r="AL136" s="66">
        <f t="shared" ref="AL136:AT136" si="1112">AL135</f>
        <v>10.65</v>
      </c>
      <c r="AM136" s="66">
        <f t="shared" si="1112"/>
        <v>9.4</v>
      </c>
      <c r="AN136" s="66">
        <f t="shared" si="1112"/>
        <v>3.6</v>
      </c>
      <c r="AO136" s="66">
        <f t="shared" si="1112"/>
        <v>1.95</v>
      </c>
      <c r="AP136" s="66">
        <f t="shared" si="1112"/>
        <v>14</v>
      </c>
      <c r="AQ136" s="66">
        <f t="shared" si="1112"/>
        <v>5</v>
      </c>
      <c r="AR136" s="66">
        <f t="shared" si="1112"/>
        <v>0</v>
      </c>
      <c r="AS136" s="284">
        <f t="shared" si="1112"/>
        <v>30</v>
      </c>
      <c r="AT136" s="284">
        <f t="shared" si="1112"/>
        <v>450</v>
      </c>
      <c r="AU136" s="284">
        <f t="shared" ref="AU136:AV136" si="1113">AU135</f>
        <v>100</v>
      </c>
      <c r="AV136" s="284">
        <f t="shared" si="1113"/>
        <v>100</v>
      </c>
      <c r="AW136" s="284"/>
      <c r="AX136" s="284">
        <f>AX135</f>
        <v>0</v>
      </c>
      <c r="AY136" s="68"/>
      <c r="AZ136" s="68"/>
      <c r="BA136" s="289"/>
      <c r="BB136" s="68"/>
      <c r="BC136" s="179"/>
      <c r="BD136" s="68"/>
      <c r="BE136" s="68"/>
      <c r="BF136" s="67" t="str">
        <f t="shared" ref="BF136:BH136" si="1114" xml:space="preserve"> BF135</f>
        <v>Seilrett</v>
      </c>
      <c r="BG136" s="295">
        <f t="shared" si="1114"/>
        <v>3</v>
      </c>
      <c r="BH136" s="295">
        <f t="shared" si="1114"/>
        <v>60</v>
      </c>
      <c r="BI136" s="47">
        <f t="shared" si="1095"/>
        <v>1</v>
      </c>
      <c r="BJ136" s="61"/>
      <c r="BK136" s="61"/>
      <c r="BM136" s="51">
        <f t="shared" ref="BM136:BR140" si="1115">IF(O136=0,0,O136*BM$9)</f>
        <v>0</v>
      </c>
      <c r="BN136" s="51">
        <f t="shared" si="1115"/>
        <v>0</v>
      </c>
      <c r="BO136" s="51">
        <f t="shared" si="1115"/>
        <v>22.4</v>
      </c>
      <c r="BP136" s="51">
        <f t="shared" si="1115"/>
        <v>0</v>
      </c>
      <c r="BQ136" s="51">
        <f t="shared" si="1115"/>
        <v>0</v>
      </c>
      <c r="BR136" s="51">
        <f t="shared" si="1115"/>
        <v>17</v>
      </c>
      <c r="BS136" s="52">
        <f>IF(COUNT(P136:T136)&gt;1,MINA(P136:T136)*BS$9,0)</f>
        <v>-5.0999999999999996</v>
      </c>
      <c r="BT136" s="88">
        <f t="shared" ref="BT136:CC140" si="1116">IF(U136=0,0,U136*BT$9)</f>
        <v>31.360000000000003</v>
      </c>
      <c r="BU136" s="88">
        <f t="shared" si="1116"/>
        <v>0</v>
      </c>
      <c r="BV136" s="88">
        <f t="shared" si="1116"/>
        <v>0</v>
      </c>
      <c r="BW136" s="88">
        <f t="shared" si="1116"/>
        <v>0</v>
      </c>
      <c r="BX136" s="88">
        <f t="shared" si="1116"/>
        <v>5.5</v>
      </c>
      <c r="BY136" s="88">
        <f t="shared" si="1116"/>
        <v>0</v>
      </c>
      <c r="BZ136" s="88">
        <f t="shared" si="1116"/>
        <v>0</v>
      </c>
      <c r="CA136" s="88">
        <f t="shared" si="1116"/>
        <v>0</v>
      </c>
      <c r="CB136" s="88">
        <f t="shared" si="1116"/>
        <v>0</v>
      </c>
      <c r="CC136" s="88">
        <f t="shared" si="1116"/>
        <v>0</v>
      </c>
      <c r="CD136" s="103">
        <f>SUM(BM136:CC136)</f>
        <v>71.16</v>
      </c>
      <c r="CE136" s="52"/>
      <c r="CF136" s="107">
        <f>J136</f>
        <v>89.6</v>
      </c>
      <c r="CG136" s="104">
        <f>CD136/CF136</f>
        <v>0.79419642857142858</v>
      </c>
      <c r="CH136" s="53">
        <f>Seilareal/Lwl/Lwl</f>
        <v>1.0140334993209597</v>
      </c>
      <c r="CI136" s="119">
        <f>Seilareal/Depl^0.667/K$7</f>
        <v>1.409106995057112</v>
      </c>
      <c r="CJ136" s="53">
        <f>Seilareal/Lwl/Lwl/SApRS1</f>
        <v>1.5386125702966202</v>
      </c>
      <c r="CK136" s="209"/>
      <c r="CL136" s="209">
        <f>(ROUND(TBF/CL$6,3)*CL$6)*CL$4</f>
        <v>93.5</v>
      </c>
      <c r="CM136" s="110">
        <f t="shared" si="690"/>
        <v>0.93295467458841663</v>
      </c>
      <c r="CN136" s="64">
        <f>IF(SeilBeregnet=0,"-",(SeilBeregnet)^(1/2)*StHfaktor/(Depl+DeplTillegg/1000+Vann/1000+Diesel/1000*0.84)^(1/3))</f>
        <v>3.488965100950546</v>
      </c>
      <c r="CO136" s="64">
        <f t="shared" si="659"/>
        <v>1.6687486995417322</v>
      </c>
      <c r="CP136" s="64">
        <f t="shared" si="660"/>
        <v>1.7509831362269537</v>
      </c>
      <c r="CQ136" s="110">
        <f t="shared" si="661"/>
        <v>1.0058623373751678</v>
      </c>
      <c r="CR136" s="172">
        <f t="shared" si="965"/>
        <v>0.90070588235294125</v>
      </c>
      <c r="CS136" s="163">
        <f>CS135</f>
        <v>0.87</v>
      </c>
      <c r="CT136" s="172">
        <f t="shared" si="966"/>
        <v>0.90315789473684216</v>
      </c>
      <c r="CU136" s="163">
        <f>CU135</f>
        <v>1.17</v>
      </c>
      <c r="CV136" s="195" t="s">
        <v>145</v>
      </c>
      <c r="CW136" s="64">
        <v>0.85</v>
      </c>
      <c r="CX136" s="64">
        <v>0.85</v>
      </c>
      <c r="CY136" s="64">
        <v>0.88</v>
      </c>
      <c r="CZ136" s="154" t="s">
        <v>111</v>
      </c>
      <c r="DA136" s="64">
        <f t="shared" si="1096"/>
        <v>2.1892069393047362</v>
      </c>
      <c r="DB136" s="49">
        <f t="shared" si="1097"/>
        <v>13.928571428571429</v>
      </c>
      <c r="DC136" s="50">
        <f t="shared" si="1098"/>
        <v>0</v>
      </c>
      <c r="DE136" s="110">
        <f>IF(SeilBeregnet=0,"-",DE$7*(DG:DG+DE$6)*DL:DL*PropF+ErfaringsF+Dyp_F)</f>
        <v>0.92321468367568427</v>
      </c>
      <c r="DF136" s="144" t="str">
        <f t="shared" si="248"/>
        <v>-</v>
      </c>
      <c r="DG136" s="110">
        <f t="shared" si="1099"/>
        <v>5.2203469315130686</v>
      </c>
      <c r="DH136" s="136">
        <f>IF(SeilBeregnet=0,DH135,(SeilBeregnet^0.5/(Depl^0.3333))^DH$3*DH$7)</f>
        <v>3.5003663114672112</v>
      </c>
      <c r="DI136" s="136">
        <f>IF(SeilBeregnet=0,DI135,(SeilBeregnet^0.5/Lwl)^DI$3*DI$7)</f>
        <v>0</v>
      </c>
      <c r="DJ136" s="136">
        <f>IF(SeilBeregnet=0,DJ135,(0.1*Loa/Depl^0.3333)^DJ$3*DJ$7)</f>
        <v>0</v>
      </c>
      <c r="DK136" s="136">
        <f>IF(SeilBeregnet=0,DK135,((Loa)/Bredde)^DK$3*DK$7)</f>
        <v>1.7199806200458578</v>
      </c>
      <c r="DL136" s="110">
        <f>IF(SeilBeregnet=0,DL135,(Lwl)^DL$3)</f>
        <v>1.7509831362269537</v>
      </c>
      <c r="DM136" s="136">
        <f>IF(SeilBeregnet=0,DM135,(Dypg/Loa)^DM$3*5*DM$7)</f>
        <v>2.1395010606990579</v>
      </c>
      <c r="DO136" s="110">
        <f t="shared" si="344"/>
        <v>0.96180894287465635</v>
      </c>
      <c r="DP136" s="110">
        <f t="shared" si="1100"/>
        <v>0.95929697028597027</v>
      </c>
      <c r="DR136" s="110">
        <f t="shared" si="1101"/>
        <v>0.93758077720395594</v>
      </c>
      <c r="DS136" s="125" t="str">
        <f t="shared" si="249"/>
        <v>-</v>
      </c>
      <c r="DT136" s="110">
        <f t="shared" si="1102"/>
        <v>0.93667172872565752</v>
      </c>
      <c r="DU136" s="125" t="str">
        <f t="shared" si="250"/>
        <v>-</v>
      </c>
      <c r="DV136" s="110">
        <f t="shared" si="214"/>
        <v>3.5000891924162327</v>
      </c>
      <c r="DW136" s="110">
        <f t="shared" si="215"/>
        <v>2.110296669863859</v>
      </c>
      <c r="DX136" s="110">
        <f>IF(SeilBeregnet=0,DX135,((Loa+Lwl)/Bredde)^DX$3)</f>
        <v>1.5362184229738891</v>
      </c>
      <c r="DZ136" s="110">
        <f t="shared" si="1103"/>
        <v>0.92962207834064969</v>
      </c>
      <c r="EB136" s="110">
        <f t="shared" si="217"/>
        <v>3.5000891924162327</v>
      </c>
      <c r="EC136" s="110">
        <f>IF(SeilBeregnet=0,EC135,Lwl^EC$3)</f>
        <v>2.1104385314977292</v>
      </c>
      <c r="ED136" s="110">
        <f>IF(SeilBeregnet=0,ED135,((Loa+Lwl)/Bredde)^ED$3)</f>
        <v>1.7724708369944617</v>
      </c>
      <c r="EE136" s="110">
        <f t="shared" si="1104"/>
        <v>0.92992766701227958</v>
      </c>
      <c r="EG136" s="110">
        <f>IF(SeilBeregnet=0,EG135,(EH136*EI136)^EG$3)</f>
        <v>5.376901499441618</v>
      </c>
      <c r="EH136" s="110">
        <f t="shared" si="219"/>
        <v>3.5000891924162327</v>
      </c>
      <c r="EI136" s="110">
        <f>IF(SeilBeregnet=0,EI135,((Loa+Lwl)/Bredde)^EI$3)</f>
        <v>1.5362184229738891</v>
      </c>
      <c r="EJ136" s="110">
        <f>IF(SeilBeregnet=0,EJ135,Lwl^EJ$3)</f>
        <v>1.7509831362269537</v>
      </c>
      <c r="EK136" s="110">
        <f>IF(SeilBeregnet=0,"-",EK$7*(EK$4*EM:EM+EK$6)*EP:EP*PropF+ErfaringsF+Dyp_F)</f>
        <v>0.92922324438192028</v>
      </c>
      <c r="EM136" s="110">
        <f>IF(SeilBeregnet=0,EM135,(EN:EN*EO:EO)^EM$3)</f>
        <v>1.8535193916653974</v>
      </c>
      <c r="EN136" s="110">
        <f t="shared" si="220"/>
        <v>3.5000891924162327</v>
      </c>
      <c r="EO136" s="110">
        <f>IF(SeilBeregnet=0,EO135,((Loa+Lwl)/Bredde/6)^EO$3)</f>
        <v>0.98155616797524992</v>
      </c>
      <c r="EP136" s="110">
        <f>IF(SeilBeregnet=0,EP135,(Lwl*0.7+Loa*0.3)^EP$3)</f>
        <v>1.7681910643854912</v>
      </c>
      <c r="EQ136" s="110">
        <f>IF(SeilBeregnet=0,"-",EQ$7*(ES:ES+EQ$6)*EV:EV*PropF+ErfaringsF+Dyp_F)</f>
        <v>0.89685344388168775</v>
      </c>
      <c r="ES136" s="110">
        <f>(ET:ET*EU:EU)^ES$3</f>
        <v>1.8535927662767289</v>
      </c>
      <c r="ET136" s="110">
        <f t="shared" si="221"/>
        <v>3.5003663114672112</v>
      </c>
      <c r="EU136" s="110">
        <f>IF(SeilBeregnet=0,EU135,((Loa+Lwl)/Bredde/6)^EU$3)</f>
        <v>0.98155616797524992</v>
      </c>
      <c r="EV136" s="110">
        <f>IF(SeilBeregnet=0,EV135,(Lwl*0.7+Loa*0.3)^EV$3)</f>
        <v>1.7681910643854912</v>
      </c>
      <c r="EW136" s="110">
        <f>IF(SeilBeregnet=0,"-",EW$7*(EY:EY+EW$6)*FB:FB*PropF+ErfaringsF+Dyp_F)</f>
        <v>0.9134748821506754</v>
      </c>
      <c r="EX136" s="144" t="str">
        <f t="shared" si="237"/>
        <v>-</v>
      </c>
      <c r="EY136" s="110">
        <f>(EZ:EZ*FA:FA)^EY$3</f>
        <v>3.3724367118187519</v>
      </c>
      <c r="EZ136" s="136">
        <f>IF(SeilBeregnet=0,EZ135,(SeilBeregnet^0.5/(Depl^0.3333))^EZ$3)</f>
        <v>3.5003663114672112</v>
      </c>
      <c r="FA136" s="136">
        <f>IF(SeilBeregnet=0,FA135,((Loa+Lwl)/Bredde/6)^FA$3)</f>
        <v>0.96345251089025696</v>
      </c>
      <c r="FB136" s="110">
        <f>IF(SeilBeregnet=0,FB135,(Lwl*0.07+Loa*0.03)^FB$3)</f>
        <v>0.99432690633627108</v>
      </c>
      <c r="FC136" s="110">
        <f>IF(SeilBeregnet=0,"-",FC$7*(FE:FE+FC$6)*FI:FI*PropF+ErfaringsF+Dyp_F)</f>
        <v>0.94431310055417683</v>
      </c>
      <c r="FD136" s="144" t="str">
        <f t="shared" si="238"/>
        <v>-</v>
      </c>
      <c r="FE136" s="110">
        <f>(FF:FF+FG:FG+FH:FH)^FE$3+FE$7</f>
        <v>5.6177553021072448</v>
      </c>
      <c r="FF136" s="136">
        <f>IF(SeilBeregnet=0,FF135,(SeilBeregnet^0.5/(Depl^0.3333))^FF$3)</f>
        <v>3.5003663114672112</v>
      </c>
      <c r="FG136" s="136">
        <f>IF(SeilBeregnet=0,FG135,(SeilBeregnet^0.5/Lwl*FG$7)^FG$3)</f>
        <v>0.89740837059417622</v>
      </c>
      <c r="FH136" s="136">
        <f>IF(SeilBeregnet=0,FH135,((Loa)/Bredde)^FH$3*FH$7)</f>
        <v>1.7199806200458578</v>
      </c>
      <c r="FI136" s="110">
        <f>IF(SeilBeregnet=0,FI135,(Lwl)^FI$3)</f>
        <v>1.7509831362269537</v>
      </c>
      <c r="FJ136" s="110">
        <f>IF(SeilBeregnet=0,"-",FJ$7*(FL:FL+FJ$6)*FO:FO*PropF+ErfaringsF+Dyp_F)</f>
        <v>0.91238344395148541</v>
      </c>
      <c r="FK136" s="144" t="str">
        <f t="shared" si="239"/>
        <v>-</v>
      </c>
      <c r="FL136" s="110">
        <f>(FM:FM*FN:FN)^FL$3</f>
        <v>6.0205622187850061</v>
      </c>
      <c r="FM136" s="136">
        <f>IF(SeilBeregnet=0,FM135,(SeilBeregnet^0.5/(Depl^0.3333))^FM$3)</f>
        <v>3.5003663114672112</v>
      </c>
      <c r="FN136" s="136">
        <f>IF(SeilBeregnet=0,FN135,(Loa/Bredde)^FN$3)</f>
        <v>1.7199806200458578</v>
      </c>
      <c r="FO136" s="110">
        <f>IF(SeilBeregnet=0,FO135,Lwl^FO$3)</f>
        <v>1.7509831362269537</v>
      </c>
      <c r="FQ136">
        <v>0.95</v>
      </c>
      <c r="FR136" s="64">
        <f t="shared" si="970"/>
        <v>1.14501356257802</v>
      </c>
      <c r="FS136" s="479"/>
      <c r="FT136" s="18"/>
      <c r="FU136" s="481"/>
      <c r="FV136" s="504"/>
      <c r="FW136" s="18"/>
      <c r="FX136" s="18"/>
      <c r="FY136" s="18"/>
      <c r="FZ136" s="18"/>
      <c r="GB136" s="18"/>
      <c r="GC136" s="481"/>
      <c r="GD136" s="8"/>
      <c r="GE136" s="8"/>
      <c r="GF136" s="8"/>
      <c r="GG136" s="8"/>
      <c r="GI136" s="18"/>
      <c r="GJ136" s="18"/>
      <c r="GK136" s="18"/>
      <c r="GL136" s="18"/>
      <c r="GM136" s="18"/>
      <c r="GN136" s="18"/>
      <c r="GO136" s="18"/>
      <c r="GP136" s="18"/>
    </row>
    <row r="137" spans="1:198" ht="15.6" x14ac:dyDescent="0.3">
      <c r="A137" s="62" t="s">
        <v>32</v>
      </c>
      <c r="B137" s="223"/>
      <c r="C137" s="63" t="str">
        <f t="shared" ref="C137:C138" si="1117">C136</f>
        <v>Gaffel</v>
      </c>
      <c r="D137" s="63"/>
      <c r="E137" s="63"/>
      <c r="F137" s="63"/>
      <c r="G137" s="56"/>
      <c r="H137" s="209">
        <f>TBFavrundet</f>
        <v>90.999999999999986</v>
      </c>
      <c r="I137" s="65">
        <f>COUNTA(O137:AD137)</f>
        <v>3</v>
      </c>
      <c r="J137" s="228">
        <f>SUM(O137:AD137)</f>
        <v>78.599999999999994</v>
      </c>
      <c r="K137" s="119">
        <f>Seilareal/Depl^0.667/K$7</f>
        <v>1.2361139487889397</v>
      </c>
      <c r="L137" s="119">
        <f>Seilareal/Lwl/Lwl/L$7</f>
        <v>1.3497204020682405</v>
      </c>
      <c r="M137" s="95">
        <f>RiggF</f>
        <v>0.8353689567430026</v>
      </c>
      <c r="N137" s="265">
        <f>StHfaktor</f>
        <v>1.0058623373751678</v>
      </c>
      <c r="O137" s="147"/>
      <c r="P137" s="147"/>
      <c r="Q137" s="169">
        <v>22.4</v>
      </c>
      <c r="R137" s="147"/>
      <c r="S137" s="147"/>
      <c r="T137" s="169">
        <v>17</v>
      </c>
      <c r="U137" s="169">
        <v>39.200000000000003</v>
      </c>
      <c r="V137" s="148"/>
      <c r="W137" s="148"/>
      <c r="X137" s="148"/>
      <c r="Y137" s="147"/>
      <c r="Z137" s="147"/>
      <c r="AA137" s="147"/>
      <c r="AB137" s="147"/>
      <c r="AC137" s="147"/>
      <c r="AD137" s="147"/>
      <c r="AE137" s="260">
        <f t="shared" si="1110"/>
        <v>9.85</v>
      </c>
      <c r="AF137" s="375">
        <f t="shared" si="1043"/>
        <v>0</v>
      </c>
      <c r="AG137" s="377"/>
      <c r="AH137" s="375">
        <f t="shared" si="1043"/>
        <v>0</v>
      </c>
      <c r="AI137" s="377"/>
      <c r="AJ137" s="295" t="str">
        <f t="shared" ref="AJ137" si="1118" xml:space="preserve"> AJ136</f>
        <v>los</v>
      </c>
      <c r="AK137" s="47">
        <f>VLOOKUP(AJ137,Skrogform!$1:$1048576,3,FALSE)</f>
        <v>0.97</v>
      </c>
      <c r="AL137" s="66">
        <f t="shared" ref="AL137:AT137" si="1119">AL136</f>
        <v>10.65</v>
      </c>
      <c r="AM137" s="66">
        <f t="shared" si="1119"/>
        <v>9.4</v>
      </c>
      <c r="AN137" s="66">
        <f t="shared" si="1119"/>
        <v>3.6</v>
      </c>
      <c r="AO137" s="66">
        <f t="shared" si="1119"/>
        <v>1.95</v>
      </c>
      <c r="AP137" s="66">
        <f t="shared" si="1119"/>
        <v>14</v>
      </c>
      <c r="AQ137" s="66">
        <f t="shared" si="1119"/>
        <v>5</v>
      </c>
      <c r="AR137" s="66">
        <f t="shared" si="1119"/>
        <v>0</v>
      </c>
      <c r="AS137" s="284">
        <f t="shared" si="1119"/>
        <v>30</v>
      </c>
      <c r="AT137" s="284">
        <f t="shared" si="1119"/>
        <v>450</v>
      </c>
      <c r="AU137" s="284">
        <f t="shared" ref="AU137:AV137" si="1120">AU136</f>
        <v>100</v>
      </c>
      <c r="AV137" s="284">
        <f t="shared" si="1120"/>
        <v>100</v>
      </c>
      <c r="AW137" s="284"/>
      <c r="AX137" s="284">
        <f>AX136</f>
        <v>0</v>
      </c>
      <c r="AY137" s="68"/>
      <c r="AZ137" s="68"/>
      <c r="BA137" s="289"/>
      <c r="BB137" s="68"/>
      <c r="BC137" s="179"/>
      <c r="BD137" s="68"/>
      <c r="BE137" s="68"/>
      <c r="BF137" s="67" t="str">
        <f t="shared" ref="BF137:BH137" si="1121" xml:space="preserve"> BF136</f>
        <v>Seilrett</v>
      </c>
      <c r="BG137" s="295">
        <f t="shared" si="1121"/>
        <v>3</v>
      </c>
      <c r="BH137" s="295">
        <f t="shared" si="1121"/>
        <v>60</v>
      </c>
      <c r="BI137" s="47">
        <f t="shared" si="1095"/>
        <v>1</v>
      </c>
      <c r="BJ137" s="61"/>
      <c r="BK137" s="61"/>
      <c r="BM137" s="51">
        <f t="shared" si="1115"/>
        <v>0</v>
      </c>
      <c r="BN137" s="51">
        <f t="shared" si="1115"/>
        <v>0</v>
      </c>
      <c r="BO137" s="51">
        <f t="shared" si="1115"/>
        <v>22.4</v>
      </c>
      <c r="BP137" s="51">
        <f t="shared" si="1115"/>
        <v>0</v>
      </c>
      <c r="BQ137" s="51">
        <f t="shared" si="1115"/>
        <v>0</v>
      </c>
      <c r="BR137" s="51">
        <f t="shared" si="1115"/>
        <v>17</v>
      </c>
      <c r="BS137" s="52">
        <f>IF(COUNT(P137:T137)&gt;1,MINA(P137:T137)*BS$9,0)</f>
        <v>-5.0999999999999996</v>
      </c>
      <c r="BT137" s="88">
        <f t="shared" si="1116"/>
        <v>31.360000000000003</v>
      </c>
      <c r="BU137" s="88">
        <f t="shared" si="1116"/>
        <v>0</v>
      </c>
      <c r="BV137" s="88">
        <f t="shared" si="1116"/>
        <v>0</v>
      </c>
      <c r="BW137" s="88">
        <f t="shared" si="1116"/>
        <v>0</v>
      </c>
      <c r="BX137" s="88">
        <f t="shared" si="1116"/>
        <v>0</v>
      </c>
      <c r="BY137" s="88">
        <f t="shared" si="1116"/>
        <v>0</v>
      </c>
      <c r="BZ137" s="88">
        <f t="shared" si="1116"/>
        <v>0</v>
      </c>
      <c r="CA137" s="88">
        <f t="shared" si="1116"/>
        <v>0</v>
      </c>
      <c r="CB137" s="88">
        <f t="shared" si="1116"/>
        <v>0</v>
      </c>
      <c r="CC137" s="88">
        <f t="shared" si="1116"/>
        <v>0</v>
      </c>
      <c r="CD137" s="103">
        <f>SUM(BM137:CC137)</f>
        <v>65.66</v>
      </c>
      <c r="CE137" s="52"/>
      <c r="CF137" s="107">
        <f>J137</f>
        <v>78.599999999999994</v>
      </c>
      <c r="CG137" s="104">
        <f>CD137/CF137</f>
        <v>0.8353689567430026</v>
      </c>
      <c r="CH137" s="53">
        <f>Seilareal/Lwl/Lwl</f>
        <v>0.88954277953825245</v>
      </c>
      <c r="CI137" s="119">
        <f>Seilareal/Depl^0.667/K$7</f>
        <v>1.2361139487889397</v>
      </c>
      <c r="CJ137" s="53">
        <f>Seilareal/Lwl/Lwl/SApRS1</f>
        <v>1.3497204020682405</v>
      </c>
      <c r="CK137" s="209"/>
      <c r="CL137" s="209">
        <f>(ROUND(TBF/CL$6,3)*CL$6)*CL$4</f>
        <v>90.999999999999986</v>
      </c>
      <c r="CM137" s="110">
        <f t="shared" si="690"/>
        <v>0.90807511792033957</v>
      </c>
      <c r="CN137" s="64">
        <f>IF(SeilBeregnet=0,"-",(SeilBeregnet)^(1/2)*StHfaktor/(Depl+DeplTillegg/1000+Vann/1000+Diesel/1000*0.84)^(1/3))</f>
        <v>3.3514218351604028</v>
      </c>
      <c r="CO137" s="64">
        <f t="shared" si="659"/>
        <v>1.6687486995417322</v>
      </c>
      <c r="CP137" s="64">
        <f t="shared" si="660"/>
        <v>1.7509831362269537</v>
      </c>
      <c r="CQ137" s="110">
        <f t="shared" si="661"/>
        <v>1.0058623373751678</v>
      </c>
      <c r="CR137" s="172" t="str">
        <f t="shared" si="965"/>
        <v>-</v>
      </c>
      <c r="CS137" s="162"/>
      <c r="CT137" s="172" t="str">
        <f t="shared" si="966"/>
        <v>-</v>
      </c>
      <c r="CU137" s="164"/>
      <c r="CV137" s="195" t="s">
        <v>145</v>
      </c>
      <c r="CW137" s="64">
        <v>0.82</v>
      </c>
      <c r="CX137" s="64">
        <v>0.84</v>
      </c>
      <c r="CY137" s="64">
        <v>0.86</v>
      </c>
      <c r="CZ137" s="154" t="s">
        <v>111</v>
      </c>
      <c r="DA137" s="64">
        <f t="shared" si="1096"/>
        <v>2.1892069393047362</v>
      </c>
      <c r="DB137" s="49">
        <f t="shared" si="1097"/>
        <v>13.928571428571429</v>
      </c>
      <c r="DC137" s="50">
        <f t="shared" si="1098"/>
        <v>0</v>
      </c>
      <c r="DE137" s="110">
        <f>IF(SeilBeregnet=0,"-",DE$7*(DG:DG+DE$6)*DL:DL*PropF+ErfaringsF+Dyp_F)</f>
        <v>0.8988107666816233</v>
      </c>
      <c r="DF137" s="144" t="str">
        <f t="shared" si="248"/>
        <v>-</v>
      </c>
      <c r="DG137" s="110">
        <f t="shared" si="1099"/>
        <v>5.0823542030074647</v>
      </c>
      <c r="DH137" s="136">
        <f>IF(SeilBeregnet=0,DH136,(SeilBeregnet^0.5/(Depl^0.3333))^DH$3*DH$7)</f>
        <v>3.3623735829616068</v>
      </c>
      <c r="DI137" s="136">
        <f>IF(SeilBeregnet=0,DI136,(SeilBeregnet^0.5/Lwl)^DI$3*DI$7)</f>
        <v>0</v>
      </c>
      <c r="DJ137" s="136">
        <f>IF(SeilBeregnet=0,DJ136,(0.1*Loa/Depl^0.3333)^DJ$3*DJ$7)</f>
        <v>0</v>
      </c>
      <c r="DK137" s="136">
        <f>IF(SeilBeregnet=0,DK136,((Loa)/Bredde)^DK$3*DK$7)</f>
        <v>1.7199806200458578</v>
      </c>
      <c r="DL137" s="110">
        <f>IF(SeilBeregnet=0,DL136,(Lwl)^DL$3)</f>
        <v>1.7509831362269537</v>
      </c>
      <c r="DM137" s="136">
        <f>IF(SeilBeregnet=0,DM136,(Dypg/Loa)^DM$3*5*DM$7)</f>
        <v>2.1395010606990579</v>
      </c>
      <c r="DO137" s="110">
        <f t="shared" si="344"/>
        <v>0.93615991538179355</v>
      </c>
      <c r="DP137" s="110">
        <f t="shared" si="1100"/>
        <v>0.92925770560648924</v>
      </c>
      <c r="DR137" s="110">
        <f t="shared" si="1101"/>
        <v>0.91386216658025421</v>
      </c>
      <c r="DS137" s="125" t="str">
        <f t="shared" si="249"/>
        <v>-</v>
      </c>
      <c r="DT137" s="110">
        <f t="shared" si="1102"/>
        <v>0.90863961645122726</v>
      </c>
      <c r="DU137" s="125" t="str">
        <f t="shared" si="250"/>
        <v>-</v>
      </c>
      <c r="DV137" s="110">
        <f t="shared" si="214"/>
        <v>3.362107388599807</v>
      </c>
      <c r="DW137" s="110">
        <f t="shared" si="215"/>
        <v>2.110296669863859</v>
      </c>
      <c r="DX137" s="110">
        <f>IF(SeilBeregnet=0,DX136,((Loa+Lwl)/Bredde)^DX$3)</f>
        <v>1.5362184229738891</v>
      </c>
      <c r="DZ137" s="110">
        <f t="shared" si="1103"/>
        <v>0.90449097600263628</v>
      </c>
      <c r="EB137" s="110">
        <f t="shared" si="217"/>
        <v>3.362107388599807</v>
      </c>
      <c r="EC137" s="110">
        <f>IF(SeilBeregnet=0,EC136,Lwl^EC$3)</f>
        <v>2.1104385314977292</v>
      </c>
      <c r="ED137" s="110">
        <f>IF(SeilBeregnet=0,ED136,((Loa+Lwl)/Bredde)^ED$3)</f>
        <v>1.7724708369944617</v>
      </c>
      <c r="EE137" s="110">
        <f t="shared" si="1104"/>
        <v>0.90320683531868251</v>
      </c>
      <c r="EG137" s="110">
        <f>IF(SeilBeregnet=0,EG136,(EH137*EI137)^EG$3)</f>
        <v>5.1649313103836558</v>
      </c>
      <c r="EH137" s="110">
        <f t="shared" si="219"/>
        <v>3.362107388599807</v>
      </c>
      <c r="EI137" s="110">
        <f>IF(SeilBeregnet=0,EI136,((Loa+Lwl)/Bredde)^EI$3)</f>
        <v>1.5362184229738891</v>
      </c>
      <c r="EJ137" s="110">
        <f>IF(SeilBeregnet=0,EJ136,Lwl^EJ$3)</f>
        <v>1.7509831362269537</v>
      </c>
      <c r="EK137" s="110">
        <f>IF(SeilBeregnet=0,"-",EK$7*(EK$4*EM:EM+EK$6)*EP:EP*PropF+ErfaringsF+Dyp_F)</f>
        <v>0.90388885997342971</v>
      </c>
      <c r="EM137" s="110">
        <f>IF(SeilBeregnet=0,EM136,(EN:EN*EO:EO)^EM$3)</f>
        <v>1.8166169779772787</v>
      </c>
      <c r="EN137" s="110">
        <f t="shared" si="220"/>
        <v>3.362107388599807</v>
      </c>
      <c r="EO137" s="110">
        <f>IF(SeilBeregnet=0,EO136,((Loa+Lwl)/Bredde/6)^EO$3)</f>
        <v>0.98155616797524992</v>
      </c>
      <c r="EP137" s="110">
        <f>IF(SeilBeregnet=0,EP136,(Lwl*0.7+Loa*0.3)^EP$3)</f>
        <v>1.7681910643854912</v>
      </c>
      <c r="EQ137" s="110">
        <f>IF(SeilBeregnet=0,"-",EQ$7*(ES:ES+EQ$6)*EV:EV*PropF+ErfaringsF+Dyp_F)</f>
        <v>0.87899765183950218</v>
      </c>
      <c r="ES137" s="110">
        <f>(ET:ET*EU:EU)^ES$3</f>
        <v>1.8166888917459165</v>
      </c>
      <c r="ET137" s="110">
        <f t="shared" si="221"/>
        <v>3.3623735829616068</v>
      </c>
      <c r="EU137" s="110">
        <f>IF(SeilBeregnet=0,EU136,((Loa+Lwl)/Bredde/6)^EU$3)</f>
        <v>0.98155616797524992</v>
      </c>
      <c r="EV137" s="110">
        <f>IF(SeilBeregnet=0,EV136,(Lwl*0.7+Loa*0.3)^EV$3)</f>
        <v>1.7681910643854912</v>
      </c>
      <c r="EW137" s="110">
        <f>IF(SeilBeregnet=0,"-",EW$7*(EY:EY+EW$6)*FB:FB*PropF+ErfaringsF+Dyp_F)</f>
        <v>0.89086950190187564</v>
      </c>
      <c r="EX137" s="144" t="str">
        <f t="shared" si="237"/>
        <v>-</v>
      </c>
      <c r="EY137" s="110">
        <f>(EZ:EZ*FA:FA)^EY$3</f>
        <v>3.2394872710554297</v>
      </c>
      <c r="EZ137" s="136">
        <f>IF(SeilBeregnet=0,EZ136,(SeilBeregnet^0.5/(Depl^0.3333))^EZ$3)</f>
        <v>3.3623735829616068</v>
      </c>
      <c r="FA137" s="136">
        <f>IF(SeilBeregnet=0,FA136,((Loa+Lwl)/Bredde/6)^FA$3)</f>
        <v>0.96345251089025696</v>
      </c>
      <c r="FB137" s="110">
        <f>IF(SeilBeregnet=0,FB136,(Lwl*0.07+Loa*0.03)^FB$3)</f>
        <v>0.99432690633627108</v>
      </c>
      <c r="FC137" s="110">
        <f>IF(SeilBeregnet=0,"-",FC$7*(FE:FE+FC$6)*FI:FI*PropF+ErfaringsF+Dyp_F)</f>
        <v>0.91517046147866965</v>
      </c>
      <c r="FD137" s="144" t="str">
        <f t="shared" si="238"/>
        <v>-</v>
      </c>
      <c r="FE137" s="110">
        <f>(FF:FF+FG:FG+FH:FH)^FE$3+FE$7</f>
        <v>5.4443846106620555</v>
      </c>
      <c r="FF137" s="136">
        <f>IF(SeilBeregnet=0,FF136,(SeilBeregnet^0.5/(Depl^0.3333))^FF$3)</f>
        <v>3.3623735829616068</v>
      </c>
      <c r="FG137" s="136">
        <f>IF(SeilBeregnet=0,FG136,(SeilBeregnet^0.5/Lwl*FG$7)^FG$3)</f>
        <v>0.86203040765459116</v>
      </c>
      <c r="FH137" s="136">
        <f>IF(SeilBeregnet=0,FH136,((Loa)/Bredde)^FH$3*FH$7)</f>
        <v>1.7199806200458578</v>
      </c>
      <c r="FI137" s="110">
        <f>IF(SeilBeregnet=0,FI136,(Lwl)^FI$3)</f>
        <v>1.7509831362269537</v>
      </c>
      <c r="FJ137" s="110">
        <f>IF(SeilBeregnet=0,"-",FJ$7*(FL:FL+FJ$6)*FO:FO*PropF+ErfaringsF+Dyp_F)</f>
        <v>0.89077293164737048</v>
      </c>
      <c r="FK137" s="144" t="str">
        <f t="shared" si="239"/>
        <v>-</v>
      </c>
      <c r="FL137" s="110">
        <f>(FM:FM*FN:FN)^FL$3</f>
        <v>5.7832174000481169</v>
      </c>
      <c r="FM137" s="136">
        <f>IF(SeilBeregnet=0,FM136,(SeilBeregnet^0.5/(Depl^0.3333))^FM$3)</f>
        <v>3.3623735829616068</v>
      </c>
      <c r="FN137" s="136">
        <f>IF(SeilBeregnet=0,FN136,(Loa/Bredde)^FN$3)</f>
        <v>1.7199806200458578</v>
      </c>
      <c r="FO137" s="110">
        <f>IF(SeilBeregnet=0,FO136,Lwl^FO$3)</f>
        <v>1.7509831362269537</v>
      </c>
      <c r="FQ137">
        <v>0.95</v>
      </c>
      <c r="FR137" s="64">
        <f t="shared" si="970"/>
        <v>1.1235462364750994</v>
      </c>
      <c r="FS137" s="479"/>
      <c r="FT137" s="18"/>
      <c r="FU137" s="481"/>
      <c r="FV137" s="504"/>
      <c r="FW137" s="18"/>
      <c r="FX137" s="18"/>
      <c r="FY137" s="18"/>
      <c r="FZ137" s="18"/>
      <c r="GB137" s="18"/>
      <c r="GC137" s="481"/>
      <c r="GD137" s="8"/>
      <c r="GE137" s="8"/>
      <c r="GF137" s="8"/>
      <c r="GG137" s="8"/>
      <c r="GI137" s="18"/>
      <c r="GJ137" s="18"/>
      <c r="GK137" s="18"/>
      <c r="GL137" s="18"/>
      <c r="GM137" s="18"/>
      <c r="GN137" s="18"/>
      <c r="GO137" s="18"/>
      <c r="GP137" s="18"/>
    </row>
    <row r="138" spans="1:198" ht="15.6" x14ac:dyDescent="0.3">
      <c r="A138" s="62" t="s">
        <v>33</v>
      </c>
      <c r="B138" s="223"/>
      <c r="C138" s="63" t="str">
        <f t="shared" si="1117"/>
        <v>Gaffel</v>
      </c>
      <c r="D138" s="63"/>
      <c r="E138" s="63"/>
      <c r="F138" s="63"/>
      <c r="G138" s="56"/>
      <c r="H138" s="209">
        <f>TBFavrundet</f>
        <v>86.5</v>
      </c>
      <c r="I138" s="65">
        <f>COUNTA(O138:AD138)</f>
        <v>3</v>
      </c>
      <c r="J138" s="228">
        <f>SUM(O138:AD138)</f>
        <v>67.599999999999994</v>
      </c>
      <c r="K138" s="119">
        <f>Seilareal/Depl^0.667/K$7</f>
        <v>1.0631209025207675</v>
      </c>
      <c r="L138" s="119">
        <f>Seilareal/Lwl/Lwl/L$7</f>
        <v>1.1608282338398608</v>
      </c>
      <c r="M138" s="95">
        <f>RiggF</f>
        <v>0.83343195266272196</v>
      </c>
      <c r="N138" s="265">
        <f>StHfaktor</f>
        <v>1.0058623373751678</v>
      </c>
      <c r="O138" s="147"/>
      <c r="P138" s="147"/>
      <c r="Q138" s="147"/>
      <c r="R138" s="169">
        <v>11.4</v>
      </c>
      <c r="S138" s="147"/>
      <c r="T138" s="169">
        <v>17</v>
      </c>
      <c r="U138" s="169">
        <v>39.200000000000003</v>
      </c>
      <c r="V138" s="148"/>
      <c r="W138" s="148"/>
      <c r="X138" s="148"/>
      <c r="Y138" s="147"/>
      <c r="Z138" s="147"/>
      <c r="AA138" s="147"/>
      <c r="AB138" s="147"/>
      <c r="AC138" s="147"/>
      <c r="AD138" s="147"/>
      <c r="AE138" s="260">
        <f t="shared" si="1110"/>
        <v>9.85</v>
      </c>
      <c r="AF138" s="375">
        <f t="shared" si="1043"/>
        <v>0</v>
      </c>
      <c r="AG138" s="377"/>
      <c r="AH138" s="375">
        <f t="shared" si="1043"/>
        <v>0</v>
      </c>
      <c r="AI138" s="377"/>
      <c r="AJ138" s="295" t="str">
        <f t="shared" ref="AJ138" si="1122" xml:space="preserve"> AJ137</f>
        <v>los</v>
      </c>
      <c r="AK138" s="47">
        <f>VLOOKUP(AJ138,Skrogform!$1:$1048576,3,FALSE)</f>
        <v>0.97</v>
      </c>
      <c r="AL138" s="66">
        <f t="shared" ref="AL138:AT138" si="1123">AL137</f>
        <v>10.65</v>
      </c>
      <c r="AM138" s="66">
        <f t="shared" si="1123"/>
        <v>9.4</v>
      </c>
      <c r="AN138" s="66">
        <f t="shared" si="1123"/>
        <v>3.6</v>
      </c>
      <c r="AO138" s="66">
        <f t="shared" si="1123"/>
        <v>1.95</v>
      </c>
      <c r="AP138" s="66">
        <f t="shared" si="1123"/>
        <v>14</v>
      </c>
      <c r="AQ138" s="66">
        <f t="shared" si="1123"/>
        <v>5</v>
      </c>
      <c r="AR138" s="66">
        <f t="shared" si="1123"/>
        <v>0</v>
      </c>
      <c r="AS138" s="284">
        <f t="shared" si="1123"/>
        <v>30</v>
      </c>
      <c r="AT138" s="284">
        <f t="shared" si="1123"/>
        <v>450</v>
      </c>
      <c r="AU138" s="284">
        <f t="shared" ref="AU138:AV138" si="1124">AU137</f>
        <v>100</v>
      </c>
      <c r="AV138" s="284">
        <f t="shared" si="1124"/>
        <v>100</v>
      </c>
      <c r="AW138" s="284"/>
      <c r="AX138" s="284">
        <f>AX137</f>
        <v>0</v>
      </c>
      <c r="AY138" s="68"/>
      <c r="AZ138" s="68"/>
      <c r="BA138" s="289"/>
      <c r="BB138" s="68"/>
      <c r="BC138" s="179"/>
      <c r="BD138" s="68"/>
      <c r="BE138" s="68"/>
      <c r="BF138" s="67" t="str">
        <f t="shared" ref="BF138:BH138" si="1125" xml:space="preserve"> BF137</f>
        <v>Seilrett</v>
      </c>
      <c r="BG138" s="295">
        <f t="shared" si="1125"/>
        <v>3</v>
      </c>
      <c r="BH138" s="295">
        <f t="shared" si="1125"/>
        <v>60</v>
      </c>
      <c r="BI138" s="47">
        <f t="shared" si="1095"/>
        <v>1</v>
      </c>
      <c r="BJ138" s="61"/>
      <c r="BK138" s="61"/>
      <c r="BM138" s="51">
        <f t="shared" si="1115"/>
        <v>0</v>
      </c>
      <c r="BN138" s="51">
        <f t="shared" si="1115"/>
        <v>0</v>
      </c>
      <c r="BO138" s="51">
        <f t="shared" si="1115"/>
        <v>0</v>
      </c>
      <c r="BP138" s="51">
        <f t="shared" si="1115"/>
        <v>11.4</v>
      </c>
      <c r="BQ138" s="51">
        <f t="shared" si="1115"/>
        <v>0</v>
      </c>
      <c r="BR138" s="51">
        <f t="shared" si="1115"/>
        <v>17</v>
      </c>
      <c r="BS138" s="52">
        <f>IF(COUNT(P138:T138)&gt;1,MINA(P138:T138)*BS$9,0)</f>
        <v>-3.42</v>
      </c>
      <c r="BT138" s="88">
        <f t="shared" si="1116"/>
        <v>31.360000000000003</v>
      </c>
      <c r="BU138" s="88">
        <f t="shared" si="1116"/>
        <v>0</v>
      </c>
      <c r="BV138" s="88">
        <f t="shared" si="1116"/>
        <v>0</v>
      </c>
      <c r="BW138" s="88">
        <f t="shared" si="1116"/>
        <v>0</v>
      </c>
      <c r="BX138" s="88">
        <f t="shared" si="1116"/>
        <v>0</v>
      </c>
      <c r="BY138" s="88">
        <f t="shared" si="1116"/>
        <v>0</v>
      </c>
      <c r="BZ138" s="88">
        <f t="shared" si="1116"/>
        <v>0</v>
      </c>
      <c r="CA138" s="88">
        <f t="shared" si="1116"/>
        <v>0</v>
      </c>
      <c r="CB138" s="88">
        <f t="shared" si="1116"/>
        <v>0</v>
      </c>
      <c r="CC138" s="88">
        <f t="shared" si="1116"/>
        <v>0</v>
      </c>
      <c r="CD138" s="103">
        <f>SUM(BM138:CC138)</f>
        <v>56.34</v>
      </c>
      <c r="CE138" s="52"/>
      <c r="CF138" s="107">
        <f>J138</f>
        <v>67.599999999999994</v>
      </c>
      <c r="CG138" s="104">
        <f>CD138/CF138</f>
        <v>0.83343195266272196</v>
      </c>
      <c r="CH138" s="53">
        <f>Seilareal/Lwl/Lwl</f>
        <v>0.76505205975554536</v>
      </c>
      <c r="CI138" s="119">
        <f>Seilareal/Depl^0.667/K$7</f>
        <v>1.0631209025207675</v>
      </c>
      <c r="CJ138" s="53">
        <f>Seilareal/Lwl/Lwl/SApRS1</f>
        <v>1.1608282338398608</v>
      </c>
      <c r="CK138" s="209"/>
      <c r="CL138" s="209">
        <f>(ROUND(TBF/CL$6,3)*CL$6)*CL$4</f>
        <v>86.5</v>
      </c>
      <c r="CM138" s="110">
        <f t="shared" si="690"/>
        <v>0.86340465311424086</v>
      </c>
      <c r="CN138" s="64">
        <f>IF(SeilBeregnet=0,"-",(SeilBeregnet)^(1/2)*StHfaktor/(Depl+DeplTillegg/1000+Vann/1000+Diesel/1000*0.84)^(1/3))</f>
        <v>3.1044672090887095</v>
      </c>
      <c r="CO138" s="64">
        <f t="shared" si="659"/>
        <v>1.6687486995417322</v>
      </c>
      <c r="CP138" s="64">
        <f t="shared" si="660"/>
        <v>1.7509831362269537</v>
      </c>
      <c r="CQ138" s="110">
        <f t="shared" si="661"/>
        <v>1.0058623373751678</v>
      </c>
      <c r="CR138" s="172" t="str">
        <f t="shared" si="965"/>
        <v>-</v>
      </c>
      <c r="CS138" s="162"/>
      <c r="CT138" s="172" t="str">
        <f t="shared" si="966"/>
        <v>-</v>
      </c>
      <c r="CU138" s="164"/>
      <c r="CV138" s="195" t="s">
        <v>145</v>
      </c>
      <c r="CW138" s="64">
        <v>0.78</v>
      </c>
      <c r="CX138" s="64">
        <v>0.81</v>
      </c>
      <c r="CY138" s="64">
        <v>0.82</v>
      </c>
      <c r="CZ138" s="154" t="s">
        <v>111</v>
      </c>
      <c r="DA138" s="64">
        <f t="shared" si="1096"/>
        <v>2.1892069393047362</v>
      </c>
      <c r="DB138" s="49">
        <f t="shared" si="1097"/>
        <v>13.928571428571429</v>
      </c>
      <c r="DC138" s="50">
        <f t="shared" si="1098"/>
        <v>0</v>
      </c>
      <c r="DE138" s="110">
        <f>IF(SeilBeregnet=0,"-",DE$7*(DG:DG+DE$6)*DL:DL*PropF+ErfaringsF+Dyp_F)</f>
        <v>0.85499429801387949</v>
      </c>
      <c r="DF138" s="144" t="str">
        <f t="shared" si="248"/>
        <v>-</v>
      </c>
      <c r="DG138" s="110">
        <f t="shared" si="1099"/>
        <v>4.8345925807066781</v>
      </c>
      <c r="DH138" s="136">
        <f>IF(SeilBeregnet=0,DH137,(SeilBeregnet^0.5/(Depl^0.3333))^DH$3*DH$7)</f>
        <v>3.1146119606608198</v>
      </c>
      <c r="DI138" s="136">
        <f>IF(SeilBeregnet=0,DI137,(SeilBeregnet^0.5/Lwl)^DI$3*DI$7)</f>
        <v>0</v>
      </c>
      <c r="DJ138" s="136">
        <f>IF(SeilBeregnet=0,DJ137,(0.1*Loa/Depl^0.3333)^DJ$3*DJ$7)</f>
        <v>0</v>
      </c>
      <c r="DK138" s="136">
        <f>IF(SeilBeregnet=0,DK137,((Loa)/Bredde)^DK$3*DK$7)</f>
        <v>1.7199806200458578</v>
      </c>
      <c r="DL138" s="110">
        <f>IF(SeilBeregnet=0,DL137,(Lwl)^DL$3)</f>
        <v>1.7509831362269537</v>
      </c>
      <c r="DM138" s="136">
        <f>IF(SeilBeregnet=0,DM137,(Dypg/Loa)^DM$3*5*DM$7)</f>
        <v>2.1395010606990579</v>
      </c>
      <c r="DO138" s="110">
        <f t="shared" si="344"/>
        <v>0.89010788980849576</v>
      </c>
      <c r="DP138" s="110">
        <f t="shared" si="1100"/>
        <v>0.87532314666044575</v>
      </c>
      <c r="DR138" s="110">
        <f t="shared" si="1101"/>
        <v>0.87127614403769449</v>
      </c>
      <c r="DS138" s="125" t="str">
        <f t="shared" si="249"/>
        <v>-</v>
      </c>
      <c r="DT138" s="110">
        <f t="shared" si="1102"/>
        <v>0.85830883678736603</v>
      </c>
      <c r="DU138" s="125" t="str">
        <f t="shared" si="250"/>
        <v>-</v>
      </c>
      <c r="DV138" s="110">
        <f t="shared" si="214"/>
        <v>3.1143653812362952</v>
      </c>
      <c r="DW138" s="110">
        <f t="shared" si="215"/>
        <v>2.110296669863859</v>
      </c>
      <c r="DX138" s="110">
        <f>IF(SeilBeregnet=0,DX137,((Loa+Lwl)/Bredde)^DX$3)</f>
        <v>1.5362184229738891</v>
      </c>
      <c r="DZ138" s="110">
        <f t="shared" si="1103"/>
        <v>0.85936886882421071</v>
      </c>
      <c r="EB138" s="110">
        <f t="shared" si="217"/>
        <v>3.1143653812362952</v>
      </c>
      <c r="EC138" s="110">
        <f>IF(SeilBeregnet=0,EC137,Lwl^EC$3)</f>
        <v>2.1104385314977292</v>
      </c>
      <c r="ED138" s="110">
        <f>IF(SeilBeregnet=0,ED137,((Loa+Lwl)/Bredde)^ED$3)</f>
        <v>1.7724708369944617</v>
      </c>
      <c r="EE138" s="110">
        <f t="shared" si="1104"/>
        <v>0.8552304188703117</v>
      </c>
      <c r="EG138" s="110">
        <f>IF(SeilBeregnet=0,EG137,(EH138*EI138)^EG$3)</f>
        <v>4.7843454745272966</v>
      </c>
      <c r="EH138" s="110">
        <f t="shared" si="219"/>
        <v>3.1143653812362952</v>
      </c>
      <c r="EI138" s="110">
        <f>IF(SeilBeregnet=0,EI137,((Loa+Lwl)/Bredde)^EI$3)</f>
        <v>1.5362184229738891</v>
      </c>
      <c r="EJ138" s="110">
        <f>IF(SeilBeregnet=0,EJ137,Lwl^EJ$3)</f>
        <v>1.7509831362269537</v>
      </c>
      <c r="EK138" s="110">
        <f>IF(SeilBeregnet=0,"-",EK$7*(EK$4*EM:EM+EK$6)*EP:EP*PropF+ErfaringsF+Dyp_F)</f>
        <v>0.85706059975767024</v>
      </c>
      <c r="EM138" s="110">
        <f>IF(SeilBeregnet=0,EM137,(EN:EN*EO:EO)^EM$3)</f>
        <v>1.7484062883898228</v>
      </c>
      <c r="EN138" s="110">
        <f t="shared" si="220"/>
        <v>3.1143653812362952</v>
      </c>
      <c r="EO138" s="110">
        <f>IF(SeilBeregnet=0,EO137,((Loa+Lwl)/Bredde/6)^EO$3)</f>
        <v>0.98155616797524992</v>
      </c>
      <c r="EP138" s="110">
        <f>IF(SeilBeregnet=0,EP137,(Lwl*0.7+Loa*0.3)^EP$3)</f>
        <v>1.7681910643854912</v>
      </c>
      <c r="EQ138" s="110">
        <f>IF(SeilBeregnet=0,"-",EQ$7*(ES:ES+EQ$6)*EV:EV*PropF+ErfaringsF+Dyp_F)</f>
        <v>0.84599287609173479</v>
      </c>
      <c r="ES138" s="110">
        <f>(ET:ET*EU:EU)^ES$3</f>
        <v>1.7484755019262106</v>
      </c>
      <c r="ET138" s="110">
        <f t="shared" si="221"/>
        <v>3.1146119606608198</v>
      </c>
      <c r="EU138" s="110">
        <f>IF(SeilBeregnet=0,EU137,((Loa+Lwl)/Bredde/6)^EU$3)</f>
        <v>0.98155616797524992</v>
      </c>
      <c r="EV138" s="110">
        <f>IF(SeilBeregnet=0,EV137,(Lwl*0.7+Loa*0.3)^EV$3)</f>
        <v>1.7681910643854912</v>
      </c>
      <c r="EW138" s="110">
        <f>IF(SeilBeregnet=0,"-",EW$7*(EY:EY+EW$6)*FB:FB*PropF+ErfaringsF+Dyp_F)</f>
        <v>0.85028224963270049</v>
      </c>
      <c r="EX138" s="144" t="str">
        <f t="shared" si="237"/>
        <v>-</v>
      </c>
      <c r="EY138" s="110">
        <f>(EZ:EZ*FA:FA)^EY$3</f>
        <v>3.0007807139474929</v>
      </c>
      <c r="EZ138" s="136">
        <f>IF(SeilBeregnet=0,EZ137,(SeilBeregnet^0.5/(Depl^0.3333))^EZ$3)</f>
        <v>3.1146119606608198</v>
      </c>
      <c r="FA138" s="136">
        <f>IF(SeilBeregnet=0,FA137,((Loa+Lwl)/Bredde/6)^FA$3)</f>
        <v>0.96345251089025696</v>
      </c>
      <c r="FB138" s="110">
        <f>IF(SeilBeregnet=0,FB137,(Lwl*0.07+Loa*0.03)^FB$3)</f>
        <v>0.99432690633627108</v>
      </c>
      <c r="FC138" s="110">
        <f>IF(SeilBeregnet=0,"-",FC$7*(FE:FE+FC$6)*FI:FI*PropF+ErfaringsF+Dyp_F)</f>
        <v>0.86284576572355454</v>
      </c>
      <c r="FD138" s="144" t="str">
        <f t="shared" si="238"/>
        <v>-</v>
      </c>
      <c r="FE138" s="110">
        <f>(FF:FF+FG:FG+FH:FH)^FE$3+FE$7</f>
        <v>5.1331029638894528</v>
      </c>
      <c r="FF138" s="136">
        <f>IF(SeilBeregnet=0,FF137,(SeilBeregnet^0.5/(Depl^0.3333))^FF$3)</f>
        <v>3.1146119606608198</v>
      </c>
      <c r="FG138" s="136">
        <f>IF(SeilBeregnet=0,FG137,(SeilBeregnet^0.5/Lwl*FG$7)^FG$3)</f>
        <v>0.79851038318277467</v>
      </c>
      <c r="FH138" s="136">
        <f>IF(SeilBeregnet=0,FH137,((Loa)/Bredde)^FH$3*FH$7)</f>
        <v>1.7199806200458578</v>
      </c>
      <c r="FI138" s="110">
        <f>IF(SeilBeregnet=0,FI137,(Lwl)^FI$3)</f>
        <v>1.7509831362269537</v>
      </c>
      <c r="FJ138" s="110">
        <f>IF(SeilBeregnet=0,"-",FJ$7*(FL:FL+FJ$6)*FO:FO*PropF+ErfaringsF+Dyp_F)</f>
        <v>0.85197193361506307</v>
      </c>
      <c r="FK138" s="144" t="str">
        <f t="shared" si="239"/>
        <v>-</v>
      </c>
      <c r="FL138" s="110">
        <f>(FM:FM*FN:FN)^FL$3</f>
        <v>5.3570722112996414</v>
      </c>
      <c r="FM138" s="136">
        <f>IF(SeilBeregnet=0,FM137,(SeilBeregnet^0.5/(Depl^0.3333))^FM$3)</f>
        <v>3.1146119606608198</v>
      </c>
      <c r="FN138" s="136">
        <f>IF(SeilBeregnet=0,FN137,(Loa/Bredde)^FN$3)</f>
        <v>1.7199806200458578</v>
      </c>
      <c r="FO138" s="110">
        <f>IF(SeilBeregnet=0,FO137,Lwl^FO$3)</f>
        <v>1.7509831362269537</v>
      </c>
      <c r="FQ138">
        <v>0.95</v>
      </c>
      <c r="FR138" s="64">
        <f t="shared" si="970"/>
        <v>1.0850023247826532</v>
      </c>
      <c r="FS138" s="479"/>
      <c r="FT138" s="18"/>
      <c r="FU138" s="481"/>
      <c r="FV138" s="504"/>
      <c r="FW138" s="18"/>
      <c r="FX138" s="18"/>
      <c r="FY138" s="18"/>
      <c r="FZ138" s="18"/>
      <c r="GB138" s="18"/>
      <c r="GC138" s="481"/>
      <c r="GD138" s="8"/>
      <c r="GE138" s="8"/>
      <c r="GF138" s="8"/>
      <c r="GG138" s="8"/>
      <c r="GI138" s="18"/>
      <c r="GJ138" s="18"/>
      <c r="GK138" s="18"/>
      <c r="GL138" s="18"/>
      <c r="GM138" s="18"/>
      <c r="GN138" s="18"/>
      <c r="GO138" s="18"/>
      <c r="GP138" s="18"/>
    </row>
    <row r="139" spans="1:198" ht="15.6" x14ac:dyDescent="0.3">
      <c r="A139" s="62" t="s">
        <v>37</v>
      </c>
      <c r="B139" s="223"/>
      <c r="C139" s="63" t="str">
        <f>C137</f>
        <v>Gaffel</v>
      </c>
      <c r="D139" s="63"/>
      <c r="E139" s="63"/>
      <c r="F139" s="63"/>
      <c r="G139" s="56"/>
      <c r="H139" s="209">
        <f>TBFavrundet</f>
        <v>83</v>
      </c>
      <c r="I139" s="65">
        <f>COUNTA(O139:AD139)</f>
        <v>3</v>
      </c>
      <c r="J139" s="228">
        <f>SUM(O139:AD139)</f>
        <v>61.1</v>
      </c>
      <c r="K139" s="119">
        <f>Seilareal/Depl^0.667/K$7</f>
        <v>0.96089773881684781</v>
      </c>
      <c r="L139" s="119">
        <f>Seilareal/Lwl/Lwl/L$7</f>
        <v>1.049210134432182</v>
      </c>
      <c r="M139" s="95">
        <f>RiggF</f>
        <v>0.81022913256955797</v>
      </c>
      <c r="N139" s="265">
        <f>StHfaktor</f>
        <v>1.0058623373751678</v>
      </c>
      <c r="O139" s="147"/>
      <c r="P139" s="147"/>
      <c r="Q139" s="147"/>
      <c r="R139" s="169">
        <v>11.4</v>
      </c>
      <c r="S139" s="147"/>
      <c r="T139" s="169">
        <v>17</v>
      </c>
      <c r="U139" s="148"/>
      <c r="V139" s="181">
        <v>32.700000000000003</v>
      </c>
      <c r="W139" s="148"/>
      <c r="X139" s="148"/>
      <c r="Y139" s="147"/>
      <c r="Z139" s="147"/>
      <c r="AA139" s="147"/>
      <c r="AB139" s="147"/>
      <c r="AC139" s="147"/>
      <c r="AD139" s="147"/>
      <c r="AE139" s="260">
        <f t="shared" si="1110"/>
        <v>9.85</v>
      </c>
      <c r="AF139" s="375">
        <f t="shared" si="1043"/>
        <v>0</v>
      </c>
      <c r="AG139" s="377"/>
      <c r="AH139" s="375">
        <f t="shared" si="1043"/>
        <v>0</v>
      </c>
      <c r="AI139" s="377"/>
      <c r="AJ139" s="295" t="str">
        <f t="shared" ref="AJ139" si="1126" xml:space="preserve"> AJ138</f>
        <v>los</v>
      </c>
      <c r="AK139" s="47">
        <f>VLOOKUP(AJ139,Skrogform!$1:$1048576,3,FALSE)</f>
        <v>0.97</v>
      </c>
      <c r="AL139" s="66">
        <f t="shared" ref="AL139:AT139" si="1127">AL138</f>
        <v>10.65</v>
      </c>
      <c r="AM139" s="66">
        <f t="shared" si="1127"/>
        <v>9.4</v>
      </c>
      <c r="AN139" s="66">
        <f t="shared" si="1127"/>
        <v>3.6</v>
      </c>
      <c r="AO139" s="66">
        <f t="shared" si="1127"/>
        <v>1.95</v>
      </c>
      <c r="AP139" s="66">
        <f t="shared" si="1127"/>
        <v>14</v>
      </c>
      <c r="AQ139" s="66">
        <f t="shared" si="1127"/>
        <v>5</v>
      </c>
      <c r="AR139" s="66">
        <f t="shared" si="1127"/>
        <v>0</v>
      </c>
      <c r="AS139" s="284">
        <f t="shared" si="1127"/>
        <v>30</v>
      </c>
      <c r="AT139" s="284">
        <f t="shared" si="1127"/>
        <v>450</v>
      </c>
      <c r="AU139" s="284">
        <f t="shared" ref="AU139:AV139" si="1128">AU138</f>
        <v>100</v>
      </c>
      <c r="AV139" s="284">
        <f t="shared" si="1128"/>
        <v>100</v>
      </c>
      <c r="AW139" s="284"/>
      <c r="AX139" s="284">
        <f>AX138</f>
        <v>0</v>
      </c>
      <c r="AY139" s="68"/>
      <c r="AZ139" s="68"/>
      <c r="BA139" s="289"/>
      <c r="BB139" s="68"/>
      <c r="BC139" s="179"/>
      <c r="BD139" s="68"/>
      <c r="BE139" s="68"/>
      <c r="BF139" s="67" t="str">
        <f t="shared" ref="BF139:BH139" si="1129" xml:space="preserve"> BF138</f>
        <v>Seilrett</v>
      </c>
      <c r="BG139" s="295">
        <f t="shared" si="1129"/>
        <v>3</v>
      </c>
      <c r="BH139" s="295">
        <f t="shared" si="1129"/>
        <v>60</v>
      </c>
      <c r="BI139" s="47">
        <f t="shared" si="1095"/>
        <v>1</v>
      </c>
      <c r="BJ139" s="61"/>
      <c r="BK139" s="61"/>
      <c r="BM139" s="51">
        <f t="shared" si="1115"/>
        <v>0</v>
      </c>
      <c r="BN139" s="51">
        <f t="shared" si="1115"/>
        <v>0</v>
      </c>
      <c r="BO139" s="51">
        <f t="shared" si="1115"/>
        <v>0</v>
      </c>
      <c r="BP139" s="51">
        <f t="shared" si="1115"/>
        <v>11.4</v>
      </c>
      <c r="BQ139" s="51">
        <f t="shared" si="1115"/>
        <v>0</v>
      </c>
      <c r="BR139" s="51">
        <f t="shared" si="1115"/>
        <v>17</v>
      </c>
      <c r="BS139" s="52">
        <f>IF(COUNT(P139:T139)&gt;1,MINA(P139:T139)*BS$9,0)</f>
        <v>-3.42</v>
      </c>
      <c r="BT139" s="88">
        <f t="shared" si="1116"/>
        <v>0</v>
      </c>
      <c r="BU139" s="88">
        <f t="shared" si="1116"/>
        <v>24.525000000000002</v>
      </c>
      <c r="BV139" s="88">
        <f t="shared" si="1116"/>
        <v>0</v>
      </c>
      <c r="BW139" s="88">
        <f t="shared" si="1116"/>
        <v>0</v>
      </c>
      <c r="BX139" s="88">
        <f t="shared" si="1116"/>
        <v>0</v>
      </c>
      <c r="BY139" s="88">
        <f t="shared" si="1116"/>
        <v>0</v>
      </c>
      <c r="BZ139" s="88">
        <f t="shared" si="1116"/>
        <v>0</v>
      </c>
      <c r="CA139" s="88">
        <f t="shared" si="1116"/>
        <v>0</v>
      </c>
      <c r="CB139" s="88">
        <f t="shared" si="1116"/>
        <v>0</v>
      </c>
      <c r="CC139" s="88">
        <f t="shared" si="1116"/>
        <v>0</v>
      </c>
      <c r="CD139" s="103">
        <f>SUM(BM139:CC139)</f>
        <v>49.504999999999995</v>
      </c>
      <c r="CE139" s="52"/>
      <c r="CF139" s="107">
        <f>J139</f>
        <v>61.1</v>
      </c>
      <c r="CG139" s="104">
        <f>CD139/CF139</f>
        <v>0.81022913256955797</v>
      </c>
      <c r="CH139" s="53">
        <f>Seilareal/Lwl/Lwl</f>
        <v>0.6914893617021276</v>
      </c>
      <c r="CI139" s="119">
        <f>Seilareal/Depl^0.667/K$7</f>
        <v>0.96089773881684781</v>
      </c>
      <c r="CJ139" s="53">
        <f>Seilareal/Lwl/Lwl/SApRS1</f>
        <v>1.049210134432182</v>
      </c>
      <c r="CK139" s="209"/>
      <c r="CL139" s="209">
        <f>(ROUND(TBF/CL$6,3)*CL$6)*CL$4</f>
        <v>83</v>
      </c>
      <c r="CM139" s="110">
        <f t="shared" si="690"/>
        <v>0.82824075285701659</v>
      </c>
      <c r="CN139" s="64">
        <f>IF(SeilBeregnet=0,"-",(SeilBeregnet)^(1/2)*StHfaktor/(Depl+DeplTillegg/1000+Vann/1000+Diesel/1000*0.84)^(1/3))</f>
        <v>2.9100683400162857</v>
      </c>
      <c r="CO139" s="64">
        <f t="shared" si="659"/>
        <v>1.6687486995417322</v>
      </c>
      <c r="CP139" s="64">
        <f t="shared" si="660"/>
        <v>1.7509831362269537</v>
      </c>
      <c r="CQ139" s="110">
        <f t="shared" si="661"/>
        <v>1.0058623373751678</v>
      </c>
      <c r="CR139" s="172" t="str">
        <f t="shared" si="965"/>
        <v>-</v>
      </c>
      <c r="CS139" s="162"/>
      <c r="CT139" s="172" t="str">
        <f t="shared" si="966"/>
        <v>-</v>
      </c>
      <c r="CU139" s="164"/>
      <c r="CV139" s="195" t="s">
        <v>145</v>
      </c>
      <c r="CW139" s="64" t="s">
        <v>111</v>
      </c>
      <c r="CX139" s="64" t="s">
        <v>111</v>
      </c>
      <c r="CY139" s="64" t="s">
        <v>111</v>
      </c>
      <c r="CZ139" s="154" t="s">
        <v>111</v>
      </c>
      <c r="DA139" s="64">
        <f t="shared" si="1096"/>
        <v>2.1892069393047362</v>
      </c>
      <c r="DB139" s="49">
        <f t="shared" si="1097"/>
        <v>13.928571428571429</v>
      </c>
      <c r="DC139" s="50">
        <f t="shared" si="1098"/>
        <v>0</v>
      </c>
      <c r="DE139" s="110">
        <f>IF(SeilBeregnet=0,"-",DE$7*(DG:DG+DE$6)*DL:DL*PropF+ErfaringsF+Dyp_F)</f>
        <v>0.82050265033247938</v>
      </c>
      <c r="DF139" s="144" t="str">
        <f t="shared" ref="DF139" si="1130">IF($DQ139=0,"-",(DE139-$DO139)*100)</f>
        <v>-</v>
      </c>
      <c r="DG139" s="110">
        <f t="shared" si="1099"/>
        <v>4.6395584566613985</v>
      </c>
      <c r="DH139" s="136">
        <f>IF(SeilBeregnet=0,DH137,(SeilBeregnet^0.5/(Depl^0.3333))^DH$3*DH$7)</f>
        <v>2.9195778366155407</v>
      </c>
      <c r="DI139" s="136">
        <f>IF(SeilBeregnet=0,DI137,(SeilBeregnet^0.5/Lwl)^DI$3*DI$7)</f>
        <v>0</v>
      </c>
      <c r="DJ139" s="136">
        <f>IF(SeilBeregnet=0,DJ137,(0.1*Loa/Depl^0.3333)^DJ$3*DJ$7)</f>
        <v>0</v>
      </c>
      <c r="DK139" s="136">
        <f>IF(SeilBeregnet=0,DK137,((Loa)/Bredde)^DK$3*DK$7)</f>
        <v>1.7199806200458578</v>
      </c>
      <c r="DL139" s="110">
        <f>IF(SeilBeregnet=0,DL137,(Lwl)^DL$3)</f>
        <v>1.7509831362269537</v>
      </c>
      <c r="DM139" s="136">
        <f>IF(SeilBeregnet=0,DM137,(Dypg/Loa)^DM$3*5*DM$7)</f>
        <v>2.1395010606990579</v>
      </c>
      <c r="DO139" s="110">
        <f t="shared" si="344"/>
        <v>0.85385644624434709</v>
      </c>
      <c r="DP139" s="110">
        <f t="shared" si="1100"/>
        <v>0.8328666945185571</v>
      </c>
      <c r="DR139" s="110">
        <f t="shared" si="1101"/>
        <v>0.83775308454998521</v>
      </c>
      <c r="DS139" s="125" t="str">
        <f t="shared" ref="DS139" si="1131">IF($DQ139=0,"-",DR139-$DO139)</f>
        <v>-</v>
      </c>
      <c r="DT139" s="110">
        <f t="shared" si="1102"/>
        <v>0.8186892240600161</v>
      </c>
      <c r="DU139" s="125" t="str">
        <f t="shared" ref="DU139" si="1132">IF($DQ139=0,"-",DT139-$DO139)</f>
        <v>-</v>
      </c>
      <c r="DV139" s="110">
        <f>IF(SeilBeregnet=0,DV137,SeilBeregnet^0.5/Depl^0.33333)</f>
        <v>2.9193466977668177</v>
      </c>
      <c r="DW139" s="110">
        <f>IF(SeilBeregnet=0,DW137,Lwl^0.3333)</f>
        <v>2.110296669863859</v>
      </c>
      <c r="DX139" s="110">
        <f>IF(SeilBeregnet=0,DX137,((Loa+Lwl)/Bredde)^DX$3)</f>
        <v>1.5362184229738891</v>
      </c>
      <c r="DZ139" s="110">
        <f t="shared" si="1103"/>
        <v>0.82384944266410254</v>
      </c>
      <c r="EB139" s="110">
        <f>IF(SeilBeregnet=0,EB137,SeilBeregnet^0.5/Depl^0.33333)</f>
        <v>2.9193466977668177</v>
      </c>
      <c r="EC139" s="110">
        <f>IF(SeilBeregnet=0,EC137,Lwl^EC$3)</f>
        <v>2.1104385314977292</v>
      </c>
      <c r="ED139" s="110">
        <f>IF(SeilBeregnet=0,ED137,((Loa+Lwl)/Bredde)^ED$3)</f>
        <v>1.7724708369944617</v>
      </c>
      <c r="EE139" s="110">
        <f t="shared" si="1104"/>
        <v>0.81746412451871953</v>
      </c>
      <c r="EG139" s="110">
        <f>IF(SeilBeregnet=0,EG137,(EH139*EI139)^EG$3)</f>
        <v>4.4847541801573714</v>
      </c>
      <c r="EH139" s="110">
        <f>IF(SeilBeregnet=0,EH137,SeilBeregnet^0.5/Depl^0.33333)</f>
        <v>2.9193466977668177</v>
      </c>
      <c r="EI139" s="110">
        <f>IF(SeilBeregnet=0,EI137,((Loa+Lwl)/Bredde)^EI$3)</f>
        <v>1.5362184229738891</v>
      </c>
      <c r="EJ139" s="110">
        <f>IF(SeilBeregnet=0,EJ137,Lwl^EJ$3)</f>
        <v>1.7509831362269537</v>
      </c>
      <c r="EK139" s="110">
        <f>IF(SeilBeregnet=0,"-",EK$7*(EK$4*EM:EM+EK$6)*EP:EP*PropF+ErfaringsF+Dyp_F)</f>
        <v>0.81887155221712105</v>
      </c>
      <c r="EM139" s="110">
        <f>IF(SeilBeregnet=0,EM137,(EN:EN*EO:EO)^EM$3)</f>
        <v>1.6927795951189859</v>
      </c>
      <c r="EN139" s="110">
        <f>IF(SeilBeregnet=0,EN137,SeilBeregnet^0.5/Depl^0.33333)</f>
        <v>2.9193466977668177</v>
      </c>
      <c r="EO139" s="110">
        <f>IF(SeilBeregnet=0,EO137,((Loa+Lwl)/Bredde/6)^EO$3)</f>
        <v>0.98155616797524992</v>
      </c>
      <c r="EP139" s="110">
        <f>IF(SeilBeregnet=0,EP137,(Lwl*0.7+Loa*0.3)^EP$3)</f>
        <v>1.7681910643854912</v>
      </c>
      <c r="EQ139" s="110">
        <f>IF(SeilBeregnet=0,"-",EQ$7*(ES:ES+EQ$6)*EV:EV*PropF+ErfaringsF+Dyp_F)</f>
        <v>0.81907705764600747</v>
      </c>
      <c r="ES139" s="110">
        <f>(ET:ET*EU:EU)^ES$3</f>
        <v>1.6928466065812993</v>
      </c>
      <c r="ET139" s="110">
        <f>IF(SeilBeregnet=0,ET137,SeilBeregnet^0.5/Depl^0.3333)</f>
        <v>2.9195778366155407</v>
      </c>
      <c r="EU139" s="110">
        <f>IF(SeilBeregnet=0,EU137,((Loa+Lwl)/Bredde/6)^EU$3)</f>
        <v>0.98155616797524992</v>
      </c>
      <c r="EV139" s="110">
        <f>IF(SeilBeregnet=0,EV137,(Lwl*0.7+Loa*0.3)^EV$3)</f>
        <v>1.7681910643854912</v>
      </c>
      <c r="EW139" s="110">
        <f>IF(SeilBeregnet=0,"-",EW$7*(EY:EY+EW$6)*FB:FB*PropF+ErfaringsF+Dyp_F)</f>
        <v>0.81833259124649038</v>
      </c>
      <c r="EX139" s="144" t="str">
        <f t="shared" ref="EX139" si="1133">IF($DQ139=0,"-",(EW139-$DO139)*100)</f>
        <v>-</v>
      </c>
      <c r="EY139" s="110">
        <f>(EZ:EZ*FA:FA)^EY$3</f>
        <v>2.812874597426787</v>
      </c>
      <c r="EZ139" s="136">
        <f>IF(SeilBeregnet=0,EZ137,(SeilBeregnet^0.5/(Depl^0.3333))^EZ$3)</f>
        <v>2.9195778366155407</v>
      </c>
      <c r="FA139" s="136">
        <f>IF(SeilBeregnet=0,FA137,((Loa+Lwl)/Bredde/6)^FA$3)</f>
        <v>0.96345251089025696</v>
      </c>
      <c r="FB139" s="110">
        <f>IF(SeilBeregnet=0,FB137,(Lwl*0.07+Loa*0.03)^FB$3)</f>
        <v>0.99432690633627108</v>
      </c>
      <c r="FC139" s="110">
        <f>IF(SeilBeregnet=0,"-",FC$7*(FE:FE+FC$6)*FI:FI*PropF+ErfaringsF+Dyp_F)</f>
        <v>0.82165657303193784</v>
      </c>
      <c r="FD139" s="144" t="str">
        <f t="shared" ref="FD139" si="1134">IF($DQ139=0,"-",(FC139-$DO139)*100)</f>
        <v>-</v>
      </c>
      <c r="FE139" s="110">
        <f>(FF:FF+FG:FG+FH:FH)^FE$3+FE$7</f>
        <v>4.888066857224139</v>
      </c>
      <c r="FF139" s="136">
        <f>IF(SeilBeregnet=0,FF137,(SeilBeregnet^0.5/(Depl^0.3333))^FF$3)</f>
        <v>2.9195778366155407</v>
      </c>
      <c r="FG139" s="136">
        <f>IF(SeilBeregnet=0,FG137,(SeilBeregnet^0.5/Lwl*FG$7)^FG$3)</f>
        <v>0.74850840056274059</v>
      </c>
      <c r="FH139" s="136">
        <f>IF(SeilBeregnet=0,FH137,((Loa)/Bredde)^FH$3*FH$7)</f>
        <v>1.7199806200458578</v>
      </c>
      <c r="FI139" s="110">
        <f>IF(SeilBeregnet=0,FI137,(Lwl)^FI$3)</f>
        <v>1.7509831362269537</v>
      </c>
      <c r="FJ139" s="110">
        <f>IF(SeilBeregnet=0,"-",FJ$7*(FL:FL+FJ$6)*FO:FO*PropF+ErfaringsF+Dyp_F)</f>
        <v>0.82142838698730281</v>
      </c>
      <c r="FK139" s="144" t="str">
        <f t="shared" ref="FK139" si="1135">IF($DQ139=0,"-",(FJ139-$DO139)*100)</f>
        <v>-</v>
      </c>
      <c r="FL139" s="110">
        <f>(FM:FM*FN:FN)^FL$3</f>
        <v>5.0216172976941422</v>
      </c>
      <c r="FM139" s="136">
        <f>IF(SeilBeregnet=0,FM137,(SeilBeregnet^0.5/(Depl^0.3333))^FM$3)</f>
        <v>2.9195778366155407</v>
      </c>
      <c r="FN139" s="136">
        <f>IF(SeilBeregnet=0,FN137,(Loa/Bredde)^FN$3)</f>
        <v>1.7199806200458578</v>
      </c>
      <c r="FO139" s="110">
        <f>IF(SeilBeregnet=0,FO137,Lwl^FO$3)</f>
        <v>1.7509831362269537</v>
      </c>
      <c r="FQ139">
        <v>0.95</v>
      </c>
      <c r="FR139" s="64">
        <f t="shared" si="970"/>
        <v>1.0546611525526437</v>
      </c>
      <c r="FS139" s="479"/>
      <c r="FT139" s="18"/>
      <c r="FU139" s="481"/>
      <c r="FV139" s="504"/>
      <c r="FW139" s="18"/>
      <c r="FX139" s="18"/>
      <c r="FY139" s="18"/>
      <c r="FZ139" s="18"/>
      <c r="GB139" s="18"/>
      <c r="GC139" s="481"/>
      <c r="GD139" s="8"/>
      <c r="GE139" s="8"/>
      <c r="GF139" s="8"/>
      <c r="GG139" s="8"/>
      <c r="GI139" s="18"/>
      <c r="GJ139" s="18"/>
      <c r="GK139" s="18"/>
      <c r="GL139" s="18"/>
      <c r="GM139" s="18"/>
      <c r="GN139" s="18"/>
      <c r="GO139" s="18"/>
      <c r="GP139" s="18"/>
    </row>
    <row r="140" spans="1:198" ht="15.6" x14ac:dyDescent="0.3">
      <c r="A140" s="62" t="s">
        <v>38</v>
      </c>
      <c r="B140" s="223"/>
      <c r="C140" s="63" t="str">
        <f>C138</f>
        <v>Gaffel</v>
      </c>
      <c r="D140" s="63"/>
      <c r="E140" s="63"/>
      <c r="F140" s="63"/>
      <c r="G140" s="56"/>
      <c r="H140" s="209">
        <f>TBFavrundet</f>
        <v>78.5</v>
      </c>
      <c r="I140" s="65">
        <f>COUNTA(O140:AD140)</f>
        <v>2</v>
      </c>
      <c r="J140" s="228">
        <f>SUM(O140:AD140)</f>
        <v>49.7</v>
      </c>
      <c r="K140" s="119">
        <f>Seilareal/Depl^0.667/K$7</f>
        <v>0.781614036320742</v>
      </c>
      <c r="L140" s="119">
        <f>Seilareal/Lwl/Lwl/L$7</f>
        <v>0.8534491600864067</v>
      </c>
      <c r="M140" s="95">
        <f>RiggF</f>
        <v>0.83551307847082501</v>
      </c>
      <c r="N140" s="265">
        <f>StHfaktor</f>
        <v>1.0058623373751678</v>
      </c>
      <c r="O140" s="147"/>
      <c r="P140" s="147"/>
      <c r="Q140" s="147"/>
      <c r="R140" s="147"/>
      <c r="S140" s="147"/>
      <c r="T140" s="169">
        <v>17</v>
      </c>
      <c r="U140" s="148"/>
      <c r="V140" s="181">
        <v>32.700000000000003</v>
      </c>
      <c r="W140" s="148"/>
      <c r="X140" s="148"/>
      <c r="Y140" s="147"/>
      <c r="Z140" s="147"/>
      <c r="AA140" s="147"/>
      <c r="AB140" s="147"/>
      <c r="AC140" s="147"/>
      <c r="AD140" s="147"/>
      <c r="AE140" s="260">
        <f t="shared" si="1110"/>
        <v>9.85</v>
      </c>
      <c r="AF140" s="375">
        <f t="shared" si="1043"/>
        <v>0</v>
      </c>
      <c r="AG140" s="377"/>
      <c r="AH140" s="375">
        <f t="shared" si="1043"/>
        <v>0</v>
      </c>
      <c r="AI140" s="377"/>
      <c r="AJ140" s="295" t="str">
        <f t="shared" ref="AJ140" si="1136" xml:space="preserve"> AJ139</f>
        <v>los</v>
      </c>
      <c r="AK140" s="47">
        <f>VLOOKUP(AJ140,Skrogform!$1:$1048576,3,FALSE)</f>
        <v>0.97</v>
      </c>
      <c r="AL140" s="66">
        <f t="shared" ref="AL140:AT140" si="1137">AL139</f>
        <v>10.65</v>
      </c>
      <c r="AM140" s="66">
        <f t="shared" si="1137"/>
        <v>9.4</v>
      </c>
      <c r="AN140" s="66">
        <f t="shared" si="1137"/>
        <v>3.6</v>
      </c>
      <c r="AO140" s="66">
        <f t="shared" si="1137"/>
        <v>1.95</v>
      </c>
      <c r="AP140" s="66">
        <f t="shared" si="1137"/>
        <v>14</v>
      </c>
      <c r="AQ140" s="66">
        <f t="shared" si="1137"/>
        <v>5</v>
      </c>
      <c r="AR140" s="66">
        <f t="shared" si="1137"/>
        <v>0</v>
      </c>
      <c r="AS140" s="284">
        <f t="shared" si="1137"/>
        <v>30</v>
      </c>
      <c r="AT140" s="284">
        <f t="shared" si="1137"/>
        <v>450</v>
      </c>
      <c r="AU140" s="284">
        <f t="shared" ref="AU140:AV140" si="1138">AU139</f>
        <v>100</v>
      </c>
      <c r="AV140" s="284">
        <f t="shared" si="1138"/>
        <v>100</v>
      </c>
      <c r="AW140" s="284"/>
      <c r="AX140" s="284">
        <f>AX139</f>
        <v>0</v>
      </c>
      <c r="AY140" s="68"/>
      <c r="AZ140" s="68"/>
      <c r="BA140" s="289"/>
      <c r="BB140" s="68"/>
      <c r="BC140" s="179"/>
      <c r="BD140" s="68"/>
      <c r="BE140" s="68"/>
      <c r="BF140" s="67" t="str">
        <f t="shared" ref="BF140:BH140" si="1139" xml:space="preserve"> BF139</f>
        <v>Seilrett</v>
      </c>
      <c r="BG140" s="295">
        <f t="shared" si="1139"/>
        <v>3</v>
      </c>
      <c r="BH140" s="295">
        <f t="shared" si="1139"/>
        <v>60</v>
      </c>
      <c r="BI140" s="47">
        <f t="shared" si="1095"/>
        <v>1</v>
      </c>
      <c r="BJ140" s="61"/>
      <c r="BK140" s="61"/>
      <c r="BM140" s="51">
        <f t="shared" si="1115"/>
        <v>0</v>
      </c>
      <c r="BN140" s="51">
        <f t="shared" si="1115"/>
        <v>0</v>
      </c>
      <c r="BO140" s="51">
        <f t="shared" si="1115"/>
        <v>0</v>
      </c>
      <c r="BP140" s="51">
        <f t="shared" si="1115"/>
        <v>0</v>
      </c>
      <c r="BQ140" s="51">
        <f t="shared" si="1115"/>
        <v>0</v>
      </c>
      <c r="BR140" s="51">
        <f t="shared" si="1115"/>
        <v>17</v>
      </c>
      <c r="BS140" s="52">
        <f>IF(COUNT(P140:T140)&gt;1,MINA(P140:T140)*BS$9,0)</f>
        <v>0</v>
      </c>
      <c r="BT140" s="88">
        <f t="shared" si="1116"/>
        <v>0</v>
      </c>
      <c r="BU140" s="88">
        <f t="shared" si="1116"/>
        <v>24.525000000000002</v>
      </c>
      <c r="BV140" s="88">
        <f t="shared" si="1116"/>
        <v>0</v>
      </c>
      <c r="BW140" s="88">
        <f t="shared" si="1116"/>
        <v>0</v>
      </c>
      <c r="BX140" s="88">
        <f t="shared" si="1116"/>
        <v>0</v>
      </c>
      <c r="BY140" s="88">
        <f t="shared" si="1116"/>
        <v>0</v>
      </c>
      <c r="BZ140" s="88">
        <f t="shared" si="1116"/>
        <v>0</v>
      </c>
      <c r="CA140" s="88">
        <f t="shared" si="1116"/>
        <v>0</v>
      </c>
      <c r="CB140" s="88">
        <f t="shared" si="1116"/>
        <v>0</v>
      </c>
      <c r="CC140" s="88">
        <f t="shared" si="1116"/>
        <v>0</v>
      </c>
      <c r="CD140" s="103">
        <f>SUM(BM140:CC140)</f>
        <v>41.525000000000006</v>
      </c>
      <c r="CE140" s="52"/>
      <c r="CF140" s="107">
        <f>J140</f>
        <v>49.7</v>
      </c>
      <c r="CG140" s="104">
        <f>CD140/CF140</f>
        <v>0.83551307847082501</v>
      </c>
      <c r="CH140" s="53">
        <f>Seilareal/Lwl/Lwl</f>
        <v>0.56247170665459489</v>
      </c>
      <c r="CI140" s="119">
        <f>Seilareal/Depl^0.667/K$7</f>
        <v>0.781614036320742</v>
      </c>
      <c r="CJ140" s="53">
        <f>Seilareal/Lwl/Lwl/SApRS1</f>
        <v>0.8534491600864067</v>
      </c>
      <c r="CK140" s="209"/>
      <c r="CL140" s="209">
        <f>(ROUND(TBF/CL$6,3)*CL$6)*CL$4</f>
        <v>78.5</v>
      </c>
      <c r="CM140" s="110">
        <f t="shared" si="690"/>
        <v>0.78395174230879217</v>
      </c>
      <c r="CN140" s="64">
        <f>IF(SeilBeregnet=0,"-",(SeilBeregnet)^(1/2)*StHfaktor/(Depl+DeplTillegg/1000+Vann/1000+Diesel/1000*0.84)^(1/3))</f>
        <v>2.6652225322437921</v>
      </c>
      <c r="CO140" s="64">
        <f t="shared" ref="CO140:CO212" si="1140">IF(SeilBeregnet=0,"-",((Loa+Lwl)/2/Bredde)^(1/CO$7))</f>
        <v>1.6687486995417322</v>
      </c>
      <c r="CP140" s="64">
        <f t="shared" ref="CP140:CP212" si="1141">IF(SeilBeregnet=0,"-",Lwl^(1/CP$7))</f>
        <v>1.7509831362269537</v>
      </c>
      <c r="CQ140" s="110">
        <f t="shared" ref="CQ140:CQ212" si="1142">IF(SeilBeregnet=0,"-",(StH/Lwl)^(1/CQ$7))</f>
        <v>1.0058623373751678</v>
      </c>
      <c r="CR140" s="172" t="str">
        <f t="shared" si="965"/>
        <v>-</v>
      </c>
      <c r="CS140" s="162"/>
      <c r="CT140" s="172" t="str">
        <f t="shared" si="966"/>
        <v>-</v>
      </c>
      <c r="CU140" s="164"/>
      <c r="CV140" s="195" t="s">
        <v>145</v>
      </c>
      <c r="CW140" s="64" t="s">
        <v>111</v>
      </c>
      <c r="CX140" s="64" t="s">
        <v>111</v>
      </c>
      <c r="CY140" s="64" t="s">
        <v>111</v>
      </c>
      <c r="CZ140" s="154" t="s">
        <v>111</v>
      </c>
      <c r="DA140" s="64">
        <f t="shared" si="1096"/>
        <v>2.1892069393047362</v>
      </c>
      <c r="DB140" s="49">
        <f t="shared" si="1097"/>
        <v>13.928571428571429</v>
      </c>
      <c r="DC140" s="50">
        <f t="shared" si="1098"/>
        <v>0</v>
      </c>
      <c r="DE140" s="110">
        <f>IF(SeilBeregnet=0,"-",DE$7*(DG:DG+DE$6)*DL:DL*PropF+ErfaringsF+Dyp_F)</f>
        <v>0.77706034339801699</v>
      </c>
      <c r="DF140" s="144" t="str">
        <f t="shared" si="248"/>
        <v>-</v>
      </c>
      <c r="DG140" s="110">
        <f t="shared" si="1099"/>
        <v>4.3939125438383346</v>
      </c>
      <c r="DH140" s="136">
        <f>IF(SeilBeregnet=0,DH138,(SeilBeregnet^0.5/(Depl^0.3333))^DH$3*DH$7)</f>
        <v>2.6739319237924764</v>
      </c>
      <c r="DI140" s="136">
        <f>IF(SeilBeregnet=0,DI138,(SeilBeregnet^0.5/Lwl)^DI$3*DI$7)</f>
        <v>0</v>
      </c>
      <c r="DJ140" s="136">
        <f>IF(SeilBeregnet=0,DJ138,(0.1*Loa/Depl^0.3333)^DJ$3*DJ$7)</f>
        <v>0</v>
      </c>
      <c r="DK140" s="136">
        <f>IF(SeilBeregnet=0,DK138,((Loa)/Bredde)^DK$3*DK$7)</f>
        <v>1.7199806200458578</v>
      </c>
      <c r="DL140" s="110">
        <f>IF(SeilBeregnet=0,DL138,(Lwl)^DL$3)</f>
        <v>1.7509831362269537</v>
      </c>
      <c r="DM140" s="136">
        <f>IF(SeilBeregnet=0,DM138,(Dypg/Loa)^DM$3*5*DM$7)</f>
        <v>2.1395010606990579</v>
      </c>
      <c r="DO140" s="110">
        <f t="shared" si="344"/>
        <v>0.80819767248329089</v>
      </c>
      <c r="DP140" s="110">
        <f t="shared" si="1100"/>
        <v>0.7793926986592391</v>
      </c>
      <c r="DR140" s="110">
        <f t="shared" si="1101"/>
        <v>0.79553071659878294</v>
      </c>
      <c r="DS140" s="125" t="str">
        <f t="shared" si="249"/>
        <v>-</v>
      </c>
      <c r="DT140" s="110">
        <f t="shared" si="1102"/>
        <v>0.76878823374999905</v>
      </c>
      <c r="DU140" s="125" t="str">
        <f t="shared" si="250"/>
        <v>-</v>
      </c>
      <c r="DV140" s="110">
        <f>IF(SeilBeregnet=0,DV138,SeilBeregnet^0.5/Depl^0.33333)</f>
        <v>2.6737202323833014</v>
      </c>
      <c r="DW140" s="110">
        <f>IF(SeilBeregnet=0,DW138,Lwl^0.3333)</f>
        <v>2.110296669863859</v>
      </c>
      <c r="DX140" s="110">
        <f>IF(SeilBeregnet=0,DX138,((Loa+Lwl)/Bredde)^DX$3)</f>
        <v>1.5362184229738891</v>
      </c>
      <c r="DZ140" s="110">
        <f t="shared" si="1103"/>
        <v>0.77911264645081224</v>
      </c>
      <c r="EB140" s="110">
        <f>IF(SeilBeregnet=0,EB138,SeilBeregnet^0.5/Depl^0.33333)</f>
        <v>2.6737202323833014</v>
      </c>
      <c r="EC140" s="110">
        <f>IF(SeilBeregnet=0,EC138,Lwl^EC$3)</f>
        <v>2.1104385314977292</v>
      </c>
      <c r="ED140" s="110">
        <f>IF(SeilBeregnet=0,ED138,((Loa+Lwl)/Bredde)^ED$3)</f>
        <v>1.7724708369944617</v>
      </c>
      <c r="EE140" s="110">
        <f t="shared" si="1104"/>
        <v>0.76989739282315417</v>
      </c>
      <c r="EG140" s="110">
        <f>IF(SeilBeregnet=0,EG138,(EH140*EI140)^EG$3)</f>
        <v>4.1074182788652553</v>
      </c>
      <c r="EH140" s="110">
        <f>IF(SeilBeregnet=0,EH138,SeilBeregnet^0.5/Depl^0.33333)</f>
        <v>2.6737202323833014</v>
      </c>
      <c r="EI140" s="110">
        <f>IF(SeilBeregnet=0,EI138,((Loa+Lwl)/Bredde)^EI$3)</f>
        <v>1.5362184229738891</v>
      </c>
      <c r="EJ140" s="110">
        <f>IF(SeilBeregnet=0,EJ138,Lwl^EJ$3)</f>
        <v>1.7509831362269537</v>
      </c>
      <c r="EK140" s="110">
        <f>IF(SeilBeregnet=0,"-",EK$7*(EK$4*EM:EM+EK$6)*EP:EP*PropF+ErfaringsF+Dyp_F)</f>
        <v>0.76890802512993228</v>
      </c>
      <c r="EM140" s="110">
        <f>IF(SeilBeregnet=0,EM138,(EN:EN*EO:EO)^EM$3)</f>
        <v>1.6200020325715792</v>
      </c>
      <c r="EN140" s="110">
        <f>IF(SeilBeregnet=0,EN138,SeilBeregnet^0.5/Depl^0.33333)</f>
        <v>2.6737202323833014</v>
      </c>
      <c r="EO140" s="110">
        <f>IF(SeilBeregnet=0,EO138,((Loa+Lwl)/Bredde/6)^EO$3)</f>
        <v>0.98155616797524992</v>
      </c>
      <c r="EP140" s="110">
        <f>IF(SeilBeregnet=0,EP138,(Lwl*0.7+Loa*0.3)^EP$3)</f>
        <v>1.7681910643854912</v>
      </c>
      <c r="EQ140" s="110">
        <f>IF(SeilBeregnet=0,"-",EQ$7*(ES:ES+EQ$6)*EV:EV*PropF+ErfaringsF+Dyp_F)</f>
        <v>0.78386253121512384</v>
      </c>
      <c r="ES140" s="110">
        <f>(ET:ET*EU:EU)^ES$3</f>
        <v>1.6200661630144713</v>
      </c>
      <c r="ET140" s="110">
        <f>IF(SeilBeregnet=0,ET138,SeilBeregnet^0.5/Depl^0.3333)</f>
        <v>2.6739319237924764</v>
      </c>
      <c r="EU140" s="110">
        <f>IF(SeilBeregnet=0,EU138,((Loa+Lwl)/Bredde/6)^EU$3)</f>
        <v>0.98155616797524992</v>
      </c>
      <c r="EV140" s="110">
        <f>IF(SeilBeregnet=0,EV138,(Lwl*0.7+Loa*0.3)^EV$3)</f>
        <v>1.7681910643854912</v>
      </c>
      <c r="EW140" s="110">
        <f>IF(SeilBeregnet=0,"-",EW$7*(EY:EY+EW$6)*FB:FB*PropF+ErfaringsF+Dyp_F)</f>
        <v>0.77809192548051609</v>
      </c>
      <c r="EX140" s="144" t="str">
        <f t="shared" si="237"/>
        <v>-</v>
      </c>
      <c r="EY140" s="110">
        <f>(EZ:EZ*FA:FA)^EY$3</f>
        <v>2.5762064259274764</v>
      </c>
      <c r="EZ140" s="136">
        <f>IF(SeilBeregnet=0,EZ138,(SeilBeregnet^0.5/(Depl^0.3333))^EZ$3)</f>
        <v>2.6739319237924764</v>
      </c>
      <c r="FA140" s="136">
        <f>IF(SeilBeregnet=0,FA138,((Loa+Lwl)/Bredde/6)^FA$3)</f>
        <v>0.96345251089025696</v>
      </c>
      <c r="FB140" s="110">
        <f>IF(SeilBeregnet=0,FB138,(Lwl*0.07+Loa*0.03)^FB$3)</f>
        <v>0.99432690633627108</v>
      </c>
      <c r="FC140" s="110">
        <f>IF(SeilBeregnet=0,"-",FC$7*(FE:FE+FC$6)*FI:FI*PropF+ErfaringsF+Dyp_F)</f>
        <v>0.76977869326753179</v>
      </c>
      <c r="FD140" s="144" t="str">
        <f t="shared" si="238"/>
        <v>-</v>
      </c>
      <c r="FE140" s="110">
        <f>(FF:FF+FG:FG+FH:FH)^FE$3+FE$7</f>
        <v>4.5794433361297671</v>
      </c>
      <c r="FF140" s="136">
        <f>IF(SeilBeregnet=0,FF138,(SeilBeregnet^0.5/(Depl^0.3333))^FF$3)</f>
        <v>2.6739319237924764</v>
      </c>
      <c r="FG140" s="136">
        <f>IF(SeilBeregnet=0,FG138,(SeilBeregnet^0.5/Lwl*FG$7)^FG$3)</f>
        <v>0.68553079229143266</v>
      </c>
      <c r="FH140" s="136">
        <f>IF(SeilBeregnet=0,FH138,((Loa)/Bredde)^FH$3*FH$7)</f>
        <v>1.7199806200458578</v>
      </c>
      <c r="FI140" s="110">
        <f>IF(SeilBeregnet=0,FI138,(Lwl)^FI$3)</f>
        <v>1.7509831362269537</v>
      </c>
      <c r="FJ140" s="110">
        <f>IF(SeilBeregnet=0,"-",FJ$7*(FL:FL+FJ$6)*FO:FO*PropF+ErfaringsF+Dyp_F)</f>
        <v>0.78295872210707818</v>
      </c>
      <c r="FK140" s="144" t="str">
        <f t="shared" si="239"/>
        <v>-</v>
      </c>
      <c r="FL140" s="110">
        <f>(FM:FM*FN:FN)^FL$3</f>
        <v>4.5991110882449968</v>
      </c>
      <c r="FM140" s="136">
        <f>IF(SeilBeregnet=0,FM138,(SeilBeregnet^0.5/(Depl^0.3333))^FM$3)</f>
        <v>2.6739319237924764</v>
      </c>
      <c r="FN140" s="136">
        <f>IF(SeilBeregnet=0,FN138,(Loa/Bredde)^FN$3)</f>
        <v>1.7199806200458578</v>
      </c>
      <c r="FO140" s="110">
        <f>IF(SeilBeregnet=0,FO138,Lwl^FO$3)</f>
        <v>1.7509831362269537</v>
      </c>
      <c r="FQ140">
        <v>0.95</v>
      </c>
      <c r="FR140" s="64">
        <f t="shared" si="970"/>
        <v>1.0164463786762927</v>
      </c>
      <c r="FS140" s="479"/>
      <c r="FT140" s="18"/>
      <c r="FU140" s="481"/>
      <c r="FV140" s="504"/>
      <c r="FW140" s="18"/>
      <c r="FX140" s="18"/>
      <c r="FY140" s="18"/>
      <c r="FZ140" s="18"/>
      <c r="GB140" s="18"/>
      <c r="GC140" s="481"/>
      <c r="GD140" s="8"/>
      <c r="GE140" s="8"/>
      <c r="GF140" s="8"/>
      <c r="GG140" s="8"/>
      <c r="GI140" s="18"/>
      <c r="GJ140" s="18"/>
      <c r="GK140" s="18"/>
      <c r="GL140" s="18"/>
      <c r="GM140" s="18"/>
      <c r="GN140" s="18"/>
      <c r="GO140" s="18"/>
      <c r="GP140" s="18"/>
    </row>
    <row r="141" spans="1:198" ht="22.8" x14ac:dyDescent="0.3">
      <c r="A141" s="54" t="s">
        <v>228</v>
      </c>
      <c r="B141" s="223">
        <f t="shared" si="199"/>
        <v>39.370078740157481</v>
      </c>
      <c r="C141" s="55" t="s">
        <v>22</v>
      </c>
      <c r="D141" s="55"/>
      <c r="E141" s="55"/>
      <c r="F141" s="55"/>
      <c r="G141" s="56"/>
      <c r="H141" s="209"/>
      <c r="I141" s="126" t="str">
        <f>A141</f>
        <v>GODBONDEN</v>
      </c>
      <c r="J141" s="229"/>
      <c r="K141" s="119"/>
      <c r="L141" s="119"/>
      <c r="M141" s="95"/>
      <c r="N141" s="265"/>
      <c r="O141" s="169"/>
      <c r="P141" s="169"/>
      <c r="Q141" s="169">
        <v>21.4</v>
      </c>
      <c r="R141" s="169"/>
      <c r="S141" s="169"/>
      <c r="T141" s="169">
        <v>15.8</v>
      </c>
      <c r="U141" s="169">
        <v>46.7</v>
      </c>
      <c r="V141" s="169"/>
      <c r="W141" s="169"/>
      <c r="X141" s="169"/>
      <c r="Y141" s="169">
        <v>12.9</v>
      </c>
      <c r="Z141" s="169"/>
      <c r="AA141" s="169"/>
      <c r="AB141" s="169"/>
      <c r="AC141" s="169"/>
      <c r="AD141" s="169"/>
      <c r="AE141" s="270">
        <v>11</v>
      </c>
      <c r="AF141" s="296"/>
      <c r="AG141" s="377"/>
      <c r="AH141" s="296"/>
      <c r="AI141" s="377"/>
      <c r="AJ141" s="296" t="s">
        <v>237</v>
      </c>
      <c r="AK141" s="47">
        <f>VLOOKUP(AJ141,Skrogform!$1:$1048576,3,FALSE)</f>
        <v>0.98</v>
      </c>
      <c r="AL141" s="57">
        <v>12</v>
      </c>
      <c r="AM141" s="57">
        <v>10.4</v>
      </c>
      <c r="AN141" s="57">
        <v>3.7</v>
      </c>
      <c r="AO141" s="57">
        <v>2.1</v>
      </c>
      <c r="AP141" s="57">
        <v>15.8</v>
      </c>
      <c r="AQ141" s="57">
        <v>5.5</v>
      </c>
      <c r="AR141" s="57">
        <v>0.2</v>
      </c>
      <c r="AS141" s="281">
        <v>50</v>
      </c>
      <c r="AT141" s="282">
        <f>AS141*7</f>
        <v>350</v>
      </c>
      <c r="AU141" s="281">
        <f>ROUND(Depl*10,-2)</f>
        <v>200</v>
      </c>
      <c r="AV141" s="281">
        <f>ROUND(Depl*10,-2)</f>
        <v>200</v>
      </c>
      <c r="AW141" s="270">
        <f>Depl+Diesel/1000+Vann/1000</f>
        <v>16.2</v>
      </c>
      <c r="AX141" s="281"/>
      <c r="AY141" s="98">
        <f>Bredde/(Loa+Lwl)*2</f>
        <v>0.3303571428571429</v>
      </c>
      <c r="AZ141" s="98">
        <f>(Kjøl+Ballast)/Depl</f>
        <v>0.36075949367088606</v>
      </c>
      <c r="BA141" s="288">
        <f>BA$7*((Depl-Kjøl-Ballast-VektMotor/1000-VektAnnet/1000)/Loa/Lwl/Bredde)</f>
        <v>0.91359648396076376</v>
      </c>
      <c r="BB141" s="98">
        <f>BB$7*(Depl/Loa/Lwl/Lwl)</f>
        <v>0.9141076041918248</v>
      </c>
      <c r="BC141" s="178">
        <f>BC$7*(Depl/Loa/Lwl/Bredde)</f>
        <v>0.949732388147567</v>
      </c>
      <c r="BD141" s="98">
        <f>BD$7*Bredde/(Loa+Lwl)*2</f>
        <v>0.94240591397849471</v>
      </c>
      <c r="BE141" s="98">
        <f>BE$7*(Dypg/Lwl)</f>
        <v>1.1044314381270903</v>
      </c>
      <c r="BF141" s="58" t="s">
        <v>24</v>
      </c>
      <c r="BG141" s="296">
        <v>4</v>
      </c>
      <c r="BH141" s="296">
        <v>51</v>
      </c>
      <c r="BI141" s="47">
        <f t="shared" si="1095"/>
        <v>1</v>
      </c>
      <c r="BJ141" s="61"/>
      <c r="BK141" s="61"/>
      <c r="BM141" s="214"/>
      <c r="BN141" s="214" t="str">
        <f>$A141</f>
        <v>GODBONDEN</v>
      </c>
      <c r="BO141" s="10"/>
      <c r="BP141" s="10"/>
      <c r="BQ141" s="10"/>
      <c r="BR141" s="10">
        <f>IF(T141=0,0,T141*BR$9)</f>
        <v>15.8</v>
      </c>
      <c r="BS141" s="52"/>
      <c r="BT141" s="214" t="str">
        <f>$A141</f>
        <v>GODBONDEN</v>
      </c>
      <c r="BU141" s="10"/>
      <c r="BV141" s="10"/>
      <c r="BW141" s="10"/>
      <c r="BX141" s="10"/>
      <c r="BY141" s="10"/>
      <c r="BZ141" s="10"/>
      <c r="CA141" s="10"/>
      <c r="CB141" s="10"/>
      <c r="CC141" s="10"/>
      <c r="CD141" s="214"/>
      <c r="CE141" s="10"/>
      <c r="CF141" s="214" t="str">
        <f>$A141</f>
        <v>GODBONDEN</v>
      </c>
      <c r="CG141" s="212"/>
      <c r="CH141" s="212"/>
      <c r="CI141" s="119"/>
      <c r="CJ141" s="212"/>
      <c r="CK141" s="208"/>
      <c r="CL141" s="208" t="s">
        <v>26</v>
      </c>
      <c r="CM141" s="110" t="str">
        <f t="shared" si="234"/>
        <v>-</v>
      </c>
      <c r="CN141" s="64" t="str">
        <f>IF(SeilBeregnet=0,"-",(SeilBeregnet)^(1/2)*StHfaktor/(Depl+DeplTillegg/1000+Vann/1000+Diesel/1000*0.84)^(1/3))</f>
        <v>-</v>
      </c>
      <c r="CO141" s="64" t="str">
        <f t="shared" si="203"/>
        <v>-</v>
      </c>
      <c r="CP141" s="64" t="str">
        <f t="shared" si="204"/>
        <v>-</v>
      </c>
      <c r="CQ141" s="110" t="str">
        <f t="shared" si="205"/>
        <v>-</v>
      </c>
      <c r="CR141" s="172" t="str">
        <f>IF(CS141=0,"-",IF(CH141="TBF","-",CR$7*CS141))</f>
        <v>-</v>
      </c>
      <c r="CS141" s="162"/>
      <c r="CT141" s="172" t="str">
        <f>IF(CU141=0,"-",IF(CL141="TBF","-",CT$7*CU141))</f>
        <v>-</v>
      </c>
      <c r="CU141" s="164"/>
      <c r="CV141" s="195" t="s">
        <v>145</v>
      </c>
      <c r="CW141" s="30" t="s">
        <v>26</v>
      </c>
      <c r="CX141" s="30" t="s">
        <v>26</v>
      </c>
      <c r="CY141" s="30" t="s">
        <v>26</v>
      </c>
      <c r="CZ141" s="153">
        <v>2022</v>
      </c>
      <c r="DA141" s="64" t="str">
        <f t="shared" si="210"/>
        <v>-</v>
      </c>
      <c r="DB141" s="49">
        <f t="shared" si="206"/>
        <v>13.90728476821192</v>
      </c>
      <c r="DC141" s="50">
        <f>DB$7*IF(DB141&lt;DB$5,-0.04,IF(DB141&lt;DB$5*1.1,-0.03,IF(DB141&lt;DB$5*1.2,-0.02,IF(DB141&lt;DB$5*1.3,-0.01,0))))</f>
        <v>0</v>
      </c>
      <c r="DE141" s="110" t="str">
        <f>IF(SeilBeregnet=0,"-",DE$7*(DG:DG+DE$6)*DL:DL*PropF+ErfaringsF+Dyp_F)</f>
        <v>-</v>
      </c>
      <c r="DF141" s="144" t="str">
        <f>IF($DQ141=0,"-",(DE141-$DO141)*100)</f>
        <v>-</v>
      </c>
      <c r="DG141" s="110">
        <f>SUM(DH141:DK141)^DG$3+DG$7</f>
        <v>4.3939125438383346</v>
      </c>
      <c r="DH141" s="136">
        <f>IF(SeilBeregnet=0,DH140,(SeilBeregnet^0.5/(Depl^0.3333))^DH$3*DH$7)</f>
        <v>2.6739319237924764</v>
      </c>
      <c r="DI141" s="136">
        <f>IF(SeilBeregnet=0,DI140,(SeilBeregnet^0.5/Lwl)^DI$3*DI$7)</f>
        <v>0</v>
      </c>
      <c r="DJ141" s="136">
        <f>IF(SeilBeregnet=0,DJ140,(0.1*Loa/Depl^0.3333)^DJ$3*DJ$7)</f>
        <v>0</v>
      </c>
      <c r="DK141" s="136">
        <f>IF(SeilBeregnet=0,DK140,((Loa)/Bredde)^DK$3*DK$7)</f>
        <v>1.7199806200458578</v>
      </c>
      <c r="DL141" s="110">
        <f>IF(SeilBeregnet=0,DL140,(Lwl)^DL$3)</f>
        <v>1.7509831362269537</v>
      </c>
      <c r="DM141" s="136">
        <f>IF(SeilBeregnet=0,DM140,(Dypg/Loa)^DM$3*5*DM$7)</f>
        <v>2.1395010606990579</v>
      </c>
      <c r="DO141" s="110" t="str">
        <f t="shared" si="344"/>
        <v>-</v>
      </c>
      <c r="DP141" s="110" t="str">
        <f t="shared" si="211"/>
        <v>-</v>
      </c>
      <c r="DR141" s="110" t="str">
        <f t="shared" si="212"/>
        <v>-</v>
      </c>
      <c r="DS141" s="125" t="str">
        <f>IF($DQ141=0,"-",DR141-$DO141)</f>
        <v>-</v>
      </c>
      <c r="DT141" s="110" t="str">
        <f>IF(SeilBeregnet=0,"-",DT$7*(DT$4*DV141*DW141*DX141*PropF+DT$6)+ErfaringsF+Dyp_F)</f>
        <v>-</v>
      </c>
      <c r="DU141" s="125" t="str">
        <f>IF($DQ141=0,"-",DT141-$DO141)</f>
        <v>-</v>
      </c>
      <c r="DV141" s="110">
        <f>IF(SeilBeregnet=0,DV140,SeilBeregnet^0.5/Depl^0.33333)</f>
        <v>2.6737202323833014</v>
      </c>
      <c r="DW141" s="110">
        <f>IF(SeilBeregnet=0,DW140,Lwl^0.3333)</f>
        <v>2.110296669863859</v>
      </c>
      <c r="DX141" s="110">
        <f>IF(SeilBeregnet=0,DX140,((Loa+Lwl)/Bredde)^DX$3)</f>
        <v>1.5362184229738891</v>
      </c>
      <c r="DZ141" s="110" t="str">
        <f>IF(SeilBeregnet=0,"-",DZ$7*(DZ$4*EB141*EC141*ED141*PropF+DZ$6)+ErfaringsF+Dyp_F)</f>
        <v>-</v>
      </c>
      <c r="EB141" s="110">
        <f>IF(SeilBeregnet=0,EB140,SeilBeregnet^0.5/Depl^0.33333)</f>
        <v>2.6737202323833014</v>
      </c>
      <c r="EC141" s="110">
        <f>IF(SeilBeregnet=0,EC140,Lwl^EC$3)</f>
        <v>2.1104385314977292</v>
      </c>
      <c r="ED141" s="110">
        <f>IF(SeilBeregnet=0,ED140,((Loa+Lwl)/Bredde)^ED$3)</f>
        <v>1.7724708369944617</v>
      </c>
      <c r="EE141" s="110" t="str">
        <f>IF(SeilBeregnet=0,"-",EE$7*(EE$4*EG141+EE$6)*EJ141*PropF+ErfaringsF+Dyp_F)</f>
        <v>-</v>
      </c>
      <c r="EG141" s="110">
        <f>IF(SeilBeregnet=0,EG140,(EH141*EI141)^EG$3)</f>
        <v>4.1074182788652553</v>
      </c>
      <c r="EH141" s="110">
        <f>IF(SeilBeregnet=0,EH140,SeilBeregnet^0.5/Depl^0.33333)</f>
        <v>2.6737202323833014</v>
      </c>
      <c r="EI141" s="110">
        <f>IF(SeilBeregnet=0,EI140,((Loa+Lwl)/Bredde)^EI$3)</f>
        <v>1.5362184229738891</v>
      </c>
      <c r="EJ141" s="110">
        <f>IF(SeilBeregnet=0,EJ140,Lwl^EJ$3)</f>
        <v>1.7509831362269537</v>
      </c>
      <c r="EK141" s="110" t="str">
        <f>IF(SeilBeregnet=0,"-",EK$7*(EK$4*EM:EM+EK$6)*EP:EP*PropF+ErfaringsF+Dyp_F)</f>
        <v>-</v>
      </c>
      <c r="EM141" s="110">
        <f>IF(SeilBeregnet=0,EM140,(EN:EN*EO:EO)^EM$3)</f>
        <v>1.6200020325715792</v>
      </c>
      <c r="EN141" s="110">
        <f>IF(SeilBeregnet=0,EN140,SeilBeregnet^0.5/Depl^0.33333)</f>
        <v>2.6737202323833014</v>
      </c>
      <c r="EO141" s="110">
        <f>IF(SeilBeregnet=0,EO140,((Loa+Lwl)/Bredde/6)^EO$3)</f>
        <v>0.98155616797524992</v>
      </c>
      <c r="EP141" s="110">
        <f>IF(SeilBeregnet=0,EP140,(Lwl*0.7+Loa*0.3)^EP$3)</f>
        <v>1.7681910643854912</v>
      </c>
      <c r="EQ141" s="110" t="str">
        <f>IF(SeilBeregnet=0,"-",EQ$7*(ES:ES+EQ$6)*EV:EV*PropF+ErfaringsF+Dyp_F)</f>
        <v>-</v>
      </c>
      <c r="ES141" s="110">
        <f>(ET:ET*EU:EU)^ES$3</f>
        <v>1.6200661630144713</v>
      </c>
      <c r="ET141" s="110">
        <f>IF(SeilBeregnet=0,ET140,SeilBeregnet^0.5/Depl^0.3333)</f>
        <v>2.6739319237924764</v>
      </c>
      <c r="EU141" s="110">
        <f>IF(SeilBeregnet=0,EU140,((Loa+Lwl)/Bredde/6)^EU$3)</f>
        <v>0.98155616797524992</v>
      </c>
      <c r="EV141" s="110">
        <f>IF(SeilBeregnet=0,EV140,(Lwl*0.7+Loa*0.3)^EV$3)</f>
        <v>1.7681910643854912</v>
      </c>
      <c r="EW141" s="110" t="str">
        <f>IF(SeilBeregnet=0,"-",EW$7*(EY:EY+EW$6)*FB:FB*PropF+ErfaringsF+Dyp_F)</f>
        <v>-</v>
      </c>
      <c r="EX141" s="144" t="str">
        <f>IF($DQ141=0,"-",(EW141-$DO141)*100)</f>
        <v>-</v>
      </c>
      <c r="EY141" s="110">
        <f>(EZ:EZ*FA:FA)^EY$3</f>
        <v>2.5762064259274764</v>
      </c>
      <c r="EZ141" s="136">
        <f>IF(SeilBeregnet=0,EZ140,(SeilBeregnet^0.5/(Depl^0.3333))^EZ$3)</f>
        <v>2.6739319237924764</v>
      </c>
      <c r="FA141" s="136">
        <f>IF(SeilBeregnet=0,FA140,((Loa+Lwl)/Bredde/6)^FA$3)</f>
        <v>0.96345251089025696</v>
      </c>
      <c r="FB141" s="110">
        <f>IF(SeilBeregnet=0,FB140,(Lwl*0.07+Loa*0.03)^FB$3)</f>
        <v>0.99432690633627108</v>
      </c>
      <c r="FC141" s="110" t="str">
        <f>IF(SeilBeregnet=0,"-",FC$7*(FE:FE+FC$6)*FI:FI*PropF+ErfaringsF+Dyp_F)</f>
        <v>-</v>
      </c>
      <c r="FD141" s="144" t="str">
        <f>IF($DQ141=0,"-",(FC141-$DO141)*100)</f>
        <v>-</v>
      </c>
      <c r="FE141" s="110">
        <f>(FF:FF+FG:FG+FH:FH)^FE$3+FE$7</f>
        <v>4.5794433361297671</v>
      </c>
      <c r="FF141" s="136">
        <f>IF(SeilBeregnet=0,FF140,(SeilBeregnet^0.5/(Depl^0.3333))^FF$3)</f>
        <v>2.6739319237924764</v>
      </c>
      <c r="FG141" s="136">
        <f>IF(SeilBeregnet=0,FG140,(SeilBeregnet^0.5/Lwl*FG$7)^FG$3)</f>
        <v>0.68553079229143266</v>
      </c>
      <c r="FH141" s="136">
        <f>IF(SeilBeregnet=0,FH140,((Loa)/Bredde)^FH$3*FH$7)</f>
        <v>1.7199806200458578</v>
      </c>
      <c r="FI141" s="110">
        <f>IF(SeilBeregnet=0,FI140,(Lwl)^FI$3)</f>
        <v>1.7509831362269537</v>
      </c>
      <c r="FJ141" s="110" t="str">
        <f>IF(SeilBeregnet=0,"-",FJ$7*(FL:FL+FJ$6)*FO:FO*PropF+ErfaringsF+Dyp_F)</f>
        <v>-</v>
      </c>
      <c r="FK141" s="144" t="str">
        <f>IF($DQ141=0,"-",(FJ141-$DO141)*100)</f>
        <v>-</v>
      </c>
      <c r="FL141" s="110">
        <f>(FM:FM*FN:FN)^FL$3</f>
        <v>4.5991110882449968</v>
      </c>
      <c r="FM141" s="136">
        <f>IF(SeilBeregnet=0,FM140,(SeilBeregnet^0.5/(Depl^0.3333))^FM$3)</f>
        <v>2.6739319237924764</v>
      </c>
      <c r="FN141" s="136">
        <f>IF(SeilBeregnet=0,FN140,(Loa/Bredde)^FN$3)</f>
        <v>1.7199806200458578</v>
      </c>
      <c r="FO141" s="110">
        <f>IF(SeilBeregnet=0,FO140,Lwl^FO$3)</f>
        <v>1.7509831362269537</v>
      </c>
      <c r="FQ141">
        <v>0.95</v>
      </c>
      <c r="FR141" s="64" t="str">
        <f>IF(SeilBeregnet=0,"-",0.06*2.43^(1/2)*(SeilBeregnet^(1/2)/Depl^(1/3)+(Loa/Bredde)^(1/2)+5*(Dypg/Loa)^(1/2))*Lwl^(1/4)*FQ141)</f>
        <v>-</v>
      </c>
      <c r="FS141" s="480" t="s">
        <v>488</v>
      </c>
      <c r="FT141" s="59" t="s">
        <v>489</v>
      </c>
      <c r="FU141" s="475"/>
      <c r="FV141" s="77"/>
      <c r="FW141" s="59"/>
      <c r="FX141" s="59"/>
      <c r="FY141" s="59" t="s">
        <v>455</v>
      </c>
      <c r="FZ141" s="59"/>
      <c r="GB141" s="59" t="s">
        <v>522</v>
      </c>
      <c r="GC141" s="475" t="s">
        <v>522</v>
      </c>
      <c r="GD141" s="60" t="s">
        <v>522</v>
      </c>
      <c r="GE141" s="60" t="s">
        <v>522</v>
      </c>
      <c r="GF141" s="60" t="s">
        <v>522</v>
      </c>
      <c r="GG141" s="60" t="s">
        <v>522</v>
      </c>
      <c r="GI141" s="59" t="s">
        <v>514</v>
      </c>
      <c r="GJ141" s="59" t="s">
        <v>507</v>
      </c>
      <c r="GK141" s="59" t="s">
        <v>595</v>
      </c>
      <c r="GL141" s="59" t="s">
        <v>594</v>
      </c>
      <c r="GM141" s="59">
        <v>1954</v>
      </c>
      <c r="GN141" s="59" t="s">
        <v>470</v>
      </c>
      <c r="GO141" s="59" t="s">
        <v>513</v>
      </c>
      <c r="GP141" s="59" t="s">
        <v>602</v>
      </c>
    </row>
    <row r="142" spans="1:198" ht="15.6" x14ac:dyDescent="0.3">
      <c r="A142" s="62" t="s">
        <v>31</v>
      </c>
      <c r="B142" s="223"/>
      <c r="C142" s="63" t="str">
        <f>C141</f>
        <v>Gaffel</v>
      </c>
      <c r="D142" s="63"/>
      <c r="E142" s="63"/>
      <c r="F142" s="63"/>
      <c r="G142" s="56"/>
      <c r="H142" s="209">
        <f>TBFavrundet</f>
        <v>97.500000000000014</v>
      </c>
      <c r="I142" s="65">
        <f>COUNTA(O142:AD142)</f>
        <v>4</v>
      </c>
      <c r="J142" s="228">
        <f>SUM(O142:AD142)</f>
        <v>96.800000000000011</v>
      </c>
      <c r="K142" s="119">
        <f>Seilareal/Depl^0.667/K$7</f>
        <v>1.4043470337011328</v>
      </c>
      <c r="L142" s="119">
        <f>Seilareal/Lwl/Lwl/L$7</f>
        <v>1.3579558567400591</v>
      </c>
      <c r="M142" s="95">
        <f>RiggF</f>
        <v>0.78791322314049583</v>
      </c>
      <c r="N142" s="265">
        <f>StHfaktor</f>
        <v>1.0070358192191537</v>
      </c>
      <c r="O142" s="147"/>
      <c r="P142" s="147"/>
      <c r="Q142" s="169">
        <v>21.4</v>
      </c>
      <c r="R142" s="147"/>
      <c r="S142" s="147"/>
      <c r="T142" s="169">
        <v>15.8</v>
      </c>
      <c r="U142" s="169">
        <v>46.7</v>
      </c>
      <c r="V142" s="147"/>
      <c r="W142" s="147"/>
      <c r="X142" s="147"/>
      <c r="Y142" s="169">
        <v>12.9</v>
      </c>
      <c r="Z142" s="147"/>
      <c r="AA142" s="147"/>
      <c r="AB142" s="147"/>
      <c r="AC142" s="147"/>
      <c r="AD142" s="147"/>
      <c r="AE142" s="260">
        <f t="shared" ref="AE142:AE144" si="1143">AE141</f>
        <v>11</v>
      </c>
      <c r="AF142" s="375">
        <f t="shared" ref="AF142:AH144" si="1144" xml:space="preserve"> AF141</f>
        <v>0</v>
      </c>
      <c r="AG142" s="377"/>
      <c r="AH142" s="375">
        <f t="shared" si="1144"/>
        <v>0</v>
      </c>
      <c r="AI142" s="377"/>
      <c r="AJ142" s="295" t="str">
        <f t="shared" ref="AJ142" si="1145" xml:space="preserve"> AJ141</f>
        <v>Lystb</v>
      </c>
      <c r="AK142" s="47">
        <f>VLOOKUP(AJ142,Skrogform!$1:$1048576,3,FALSE)</f>
        <v>0.98</v>
      </c>
      <c r="AL142" s="66">
        <f t="shared" ref="AL142:AT142" si="1146">AL141</f>
        <v>12</v>
      </c>
      <c r="AM142" s="66">
        <f t="shared" si="1146"/>
        <v>10.4</v>
      </c>
      <c r="AN142" s="66">
        <f t="shared" si="1146"/>
        <v>3.7</v>
      </c>
      <c r="AO142" s="66">
        <f t="shared" si="1146"/>
        <v>2.1</v>
      </c>
      <c r="AP142" s="66">
        <f t="shared" si="1146"/>
        <v>15.8</v>
      </c>
      <c r="AQ142" s="66">
        <f t="shared" si="1146"/>
        <v>5.5</v>
      </c>
      <c r="AR142" s="66">
        <f t="shared" si="1146"/>
        <v>0.2</v>
      </c>
      <c r="AS142" s="284">
        <f t="shared" si="1146"/>
        <v>50</v>
      </c>
      <c r="AT142" s="284">
        <f t="shared" si="1146"/>
        <v>350</v>
      </c>
      <c r="AU142" s="284">
        <f t="shared" ref="AU142:AV142" si="1147">AU141</f>
        <v>200</v>
      </c>
      <c r="AV142" s="284">
        <f t="shared" si="1147"/>
        <v>200</v>
      </c>
      <c r="AW142" s="284"/>
      <c r="AX142" s="284">
        <f>AX141</f>
        <v>0</v>
      </c>
      <c r="AY142" s="68"/>
      <c r="AZ142" s="68"/>
      <c r="BA142" s="289"/>
      <c r="BB142" s="68"/>
      <c r="BC142" s="179"/>
      <c r="BD142" s="68"/>
      <c r="BE142" s="68"/>
      <c r="BF142" s="67" t="str">
        <f t="shared" ref="BF142:BH142" si="1148" xml:space="preserve"> BF141</f>
        <v>Seilrett</v>
      </c>
      <c r="BG142" s="295">
        <f t="shared" si="1148"/>
        <v>4</v>
      </c>
      <c r="BH142" s="295">
        <f t="shared" si="1148"/>
        <v>51</v>
      </c>
      <c r="BI142" s="47">
        <f t="shared" si="1095"/>
        <v>1</v>
      </c>
      <c r="BJ142" s="61"/>
      <c r="BK142" s="61"/>
      <c r="BM142" s="51">
        <f t="shared" ref="BM142:BQ144" si="1149">IF(O142=0,0,O142*BM$9)</f>
        <v>0</v>
      </c>
      <c r="BN142" s="51">
        <f t="shared" si="1149"/>
        <v>0</v>
      </c>
      <c r="BO142" s="51">
        <f t="shared" si="1149"/>
        <v>21.4</v>
      </c>
      <c r="BP142" s="51">
        <f t="shared" si="1149"/>
        <v>0</v>
      </c>
      <c r="BQ142" s="51">
        <f t="shared" si="1149"/>
        <v>0</v>
      </c>
      <c r="BR142" s="51">
        <f>IF(T142=0,0,T142*BR$9)</f>
        <v>15.8</v>
      </c>
      <c r="BS142" s="52">
        <f>IF(COUNT(P142:T142)&gt;1,MINA(P142:T142)*BS$9,0)</f>
        <v>-4.74</v>
      </c>
      <c r="BT142" s="88">
        <f t="shared" ref="BT142:CC144" si="1150">IF(U142=0,0,U142*BT$9)</f>
        <v>37.360000000000007</v>
      </c>
      <c r="BU142" s="88">
        <f t="shared" si="1150"/>
        <v>0</v>
      </c>
      <c r="BV142" s="88">
        <f t="shared" si="1150"/>
        <v>0</v>
      </c>
      <c r="BW142" s="88">
        <f t="shared" si="1150"/>
        <v>0</v>
      </c>
      <c r="BX142" s="88">
        <f t="shared" si="1150"/>
        <v>6.45</v>
      </c>
      <c r="BY142" s="88">
        <f t="shared" si="1150"/>
        <v>0</v>
      </c>
      <c r="BZ142" s="88">
        <f t="shared" si="1150"/>
        <v>0</v>
      </c>
      <c r="CA142" s="88">
        <f t="shared" si="1150"/>
        <v>0</v>
      </c>
      <c r="CB142" s="88">
        <f t="shared" si="1150"/>
        <v>0</v>
      </c>
      <c r="CC142" s="88">
        <f t="shared" si="1150"/>
        <v>0</v>
      </c>
      <c r="CD142" s="103">
        <f>SUM(BM142:CC142)</f>
        <v>76.27000000000001</v>
      </c>
      <c r="CE142" s="52"/>
      <c r="CF142" s="107">
        <f>J142</f>
        <v>96.800000000000011</v>
      </c>
      <c r="CG142" s="104">
        <f>CD142/CF142</f>
        <v>0.78791322314049583</v>
      </c>
      <c r="CH142" s="53">
        <f>Seilareal/Lwl/Lwl</f>
        <v>0.89497041420118351</v>
      </c>
      <c r="CI142" s="119">
        <f>Seilareal/Depl^0.667/K$7</f>
        <v>1.4043470337011328</v>
      </c>
      <c r="CJ142" s="53">
        <f>Seilareal/Lwl/Lwl/SApRS1</f>
        <v>1.3579558567400591</v>
      </c>
      <c r="CK142" s="209"/>
      <c r="CL142" s="209">
        <f>(ROUND(TBF/CL$6,3)*CL$6)*CL$4</f>
        <v>97.500000000000014</v>
      </c>
      <c r="CM142" s="110">
        <f t="shared" si="234"/>
        <v>0.97531159661280853</v>
      </c>
      <c r="CN142" s="64">
        <f>IF(SeilBeregnet=0,"-",(SeilBeregnet)^(1/2)*StHfaktor/(Depl+DeplTillegg/1000+Vann/1000+Diesel/1000*0.84)^(1/3))</f>
        <v>3.4638301330096537</v>
      </c>
      <c r="CO142" s="64">
        <f t="shared" si="203"/>
        <v>1.7398353448033601</v>
      </c>
      <c r="CP142" s="64">
        <f t="shared" si="204"/>
        <v>1.7958015200236968</v>
      </c>
      <c r="CQ142" s="110">
        <f t="shared" si="205"/>
        <v>1.0070358192191537</v>
      </c>
      <c r="CR142" s="172" t="str">
        <f>IF(CS142=0,"-",IF(CH142="TBF","-",CR$7*CS142))</f>
        <v>-</v>
      </c>
      <c r="CS142" s="163">
        <f>CS141</f>
        <v>0</v>
      </c>
      <c r="CT142" s="172" t="str">
        <f>IF(CU142=0,"-",IF(CL142="TBF","-",CT$7*CU142))</f>
        <v>-</v>
      </c>
      <c r="CU142" s="163">
        <f>CU141</f>
        <v>0</v>
      </c>
      <c r="CV142" s="195" t="s">
        <v>145</v>
      </c>
      <c r="CW142" s="64" t="s">
        <v>111</v>
      </c>
      <c r="CX142" s="64" t="s">
        <v>111</v>
      </c>
      <c r="CY142" s="64" t="s">
        <v>111</v>
      </c>
      <c r="CZ142" s="154" t="s">
        <v>111</v>
      </c>
      <c r="DA142" s="64">
        <f t="shared" si="210"/>
        <v>2.1487353342809299</v>
      </c>
      <c r="DB142" s="49">
        <f t="shared" si="206"/>
        <v>13.90728476821192</v>
      </c>
      <c r="DC142" s="50">
        <f>DB$7*IF(DB142&lt;DB$5,-0.04,IF(DB142&lt;DB$5*1.1,-0.03,IF(DB142&lt;DB$5*1.2,-0.02,IF(DB142&lt;DB$5*1.3,-0.01,0))))</f>
        <v>0</v>
      </c>
      <c r="DE142" s="110">
        <f>IF(SeilBeregnet=0,"-",DE$7*(DG:DG+DE$6)*DL:DL*PropF+ErfaringsF+Dyp_F)</f>
        <v>0.95795226653769516</v>
      </c>
      <c r="DF142" s="144" t="str">
        <f>IF($DQ142=0,"-",(DE142-$DO142)*100)</f>
        <v>-</v>
      </c>
      <c r="DG142" s="110">
        <f>SUM(DH142:DK142)^DG$3+DG$7</f>
        <v>5.2815836274538048</v>
      </c>
      <c r="DH142" s="136">
        <f>IF(SeilBeregnet=0,DH141,(SeilBeregnet^0.5/(Depl^0.3333))^DH$3*DH$7)</f>
        <v>3.4806829518908122</v>
      </c>
      <c r="DI142" s="136">
        <f>IF(SeilBeregnet=0,DI141,(SeilBeregnet^0.5/Lwl)^DI$3*DI$7)</f>
        <v>0</v>
      </c>
      <c r="DJ142" s="136">
        <f>IF(SeilBeregnet=0,DJ141,(0.1*Loa/Depl^0.3333)^DJ$3*DJ$7)</f>
        <v>0</v>
      </c>
      <c r="DK142" s="136">
        <f>IF(SeilBeregnet=0,DK141,((Loa)/Bredde)^DK$3*DK$7)</f>
        <v>1.8009006755629926</v>
      </c>
      <c r="DL142" s="110">
        <f>IF(SeilBeregnet=0,DL141,(Lwl)^DL$3)</f>
        <v>1.7958015200236968</v>
      </c>
      <c r="DM142" s="136">
        <f>IF(SeilBeregnet=0,DM141,(Dypg/Loa)^DM$3*5*DM$7)</f>
        <v>2.0916500663351889</v>
      </c>
      <c r="DO142" s="110">
        <f t="shared" si="344"/>
        <v>0.99521591491102912</v>
      </c>
      <c r="DP142" s="110">
        <f t="shared" si="211"/>
        <v>0.9698479263043952</v>
      </c>
      <c r="DR142" s="110">
        <f t="shared" si="212"/>
        <v>0.95774347101265211</v>
      </c>
      <c r="DS142" s="125" t="str">
        <f>IF($DQ142=0,"-",DR142-$DO142)</f>
        <v>-</v>
      </c>
      <c r="DT142" s="110">
        <f>IF(SeilBeregnet=0,"-",DT$7*(DT$4*DV142*DW142*DX142*PropF+DT$6)+ErfaringsF+Dyp_F)</f>
        <v>0.97231537853191996</v>
      </c>
      <c r="DU142" s="125" t="str">
        <f>IF($DQ142=0,"-",DT142-$DO142)</f>
        <v>-</v>
      </c>
      <c r="DV142" s="110">
        <f>IF(SeilBeregnet=0,DV141,SeilBeregnet^0.5/Depl^0.33333)</f>
        <v>3.4803947622357119</v>
      </c>
      <c r="DW142" s="110">
        <f>IF(SeilBeregnet=0,DW141,Lwl^0.3333)</f>
        <v>2.1826153840929692</v>
      </c>
      <c r="DX142" s="110">
        <f>IF(SeilBeregnet=0,DX141,((Loa+Lwl)/Bredde)^DX$3)</f>
        <v>1.5685976988753305</v>
      </c>
      <c r="DZ142" s="110">
        <f>IF(SeilBeregnet=0,"-",DZ$7*(DZ$4*EB142*EC142*ED142*PropF+DZ$6)+ErfaringsF+Dyp_F)</f>
        <v>0.96624782448253455</v>
      </c>
      <c r="EB142" s="110">
        <f>IF(SeilBeregnet=0,EB141,SeilBeregnet^0.5/Depl^0.33333)</f>
        <v>3.4803947622357119</v>
      </c>
      <c r="EC142" s="110">
        <f>IF(SeilBeregnet=0,EC141,Lwl^EC$3)</f>
        <v>2.182768727320779</v>
      </c>
      <c r="ED142" s="110">
        <f>IF(SeilBeregnet=0,ED141,((Loa+Lwl)/Bredde)^ED$3)</f>
        <v>1.8224517114943624</v>
      </c>
      <c r="EE142" s="110">
        <f>IF(SeilBeregnet=0,"-",EE$7*(EE$4*EG142+EE$6)*EJ142*PropF+ErfaringsF+Dyp_F)</f>
        <v>0.96438825603784295</v>
      </c>
      <c r="EG142" s="110">
        <f>IF(SeilBeregnet=0,EG141,(EH142*EI142)^EG$3)</f>
        <v>5.459339215220691</v>
      </c>
      <c r="EH142" s="110">
        <f>IF(SeilBeregnet=0,EH141,SeilBeregnet^0.5/Depl^0.33333)</f>
        <v>3.4803947622357119</v>
      </c>
      <c r="EI142" s="110">
        <f>IF(SeilBeregnet=0,EI141,((Loa+Lwl)/Bredde)^EI$3)</f>
        <v>1.5685976988753305</v>
      </c>
      <c r="EJ142" s="110">
        <f>IF(SeilBeregnet=0,EJ141,Lwl^EJ$3)</f>
        <v>1.7958015200236968</v>
      </c>
      <c r="EK142" s="110">
        <f>IF(SeilBeregnet=0,"-",EK$7*(EK$4*EM:EM+EK$6)*EP:EP*PropF+ErfaringsF+Dyp_F)</f>
        <v>0.96442017949464554</v>
      </c>
      <c r="EM142" s="110">
        <f>IF(SeilBeregnet=0,EM141,(EN:EN*EO:EO)^EM$3)</f>
        <v>1.8676742610280084</v>
      </c>
      <c r="EN142" s="110">
        <f>IF(SeilBeregnet=0,EN141,SeilBeregnet^0.5/Depl^0.33333)</f>
        <v>3.4803947622357119</v>
      </c>
      <c r="EO142" s="110">
        <f>IF(SeilBeregnet=0,EO141,((Loa+Lwl)/Bredde/6)^EO$3)</f>
        <v>1.0022446830329634</v>
      </c>
      <c r="EP142" s="110">
        <f>IF(SeilBeregnet=0,EP141,(Lwl*0.7+Loa*0.3)^EP$3)</f>
        <v>1.8161730370463405</v>
      </c>
      <c r="EQ142" s="110">
        <f>IF(SeilBeregnet=0,"-",EQ$7*(ES:ES+EQ$6)*EV:EV*PropF+ErfaringsF+Dyp_F)</f>
        <v>0.92822722054018425</v>
      </c>
      <c r="ES142" s="110">
        <f>(ET:ET*EU:EU)^ES$3</f>
        <v>1.8677515846214792</v>
      </c>
      <c r="ET142" s="110">
        <f>IF(SeilBeregnet=0,ET141,SeilBeregnet^0.5/Depl^0.3333)</f>
        <v>3.4806829518908122</v>
      </c>
      <c r="EU142" s="110">
        <f>IF(SeilBeregnet=0,EU141,((Loa+Lwl)/Bredde/6)^EU$3)</f>
        <v>1.0022446830329634</v>
      </c>
      <c r="EV142" s="110">
        <f>IF(SeilBeregnet=0,EV141,(Lwl*0.7+Loa*0.3)^EV$3)</f>
        <v>1.8161730370463405</v>
      </c>
      <c r="EW142" s="110">
        <f>IF(SeilBeregnet=0,"-",EW$7*(EY:EY+EW$6)*FB:FB*PropF+ErfaringsF+Dyp_F)</f>
        <v>0.95989971228168569</v>
      </c>
      <c r="EX142" s="144" t="str">
        <f>IF($DQ142=0,"-",(EW142-$DO142)*100)</f>
        <v>-</v>
      </c>
      <c r="EY142" s="110">
        <f>(EZ:EZ*FA:FA)^EY$3</f>
        <v>3.4963265495970797</v>
      </c>
      <c r="EZ142" s="136">
        <f>IF(SeilBeregnet=0,EZ141,(SeilBeregnet^0.5/(Depl^0.3333))^EZ$3)</f>
        <v>3.4806829518908122</v>
      </c>
      <c r="FA142" s="136">
        <f>IF(SeilBeregnet=0,FA141,((Loa+Lwl)/Bredde/6)^FA$3)</f>
        <v>1.0044944046678452</v>
      </c>
      <c r="FB142" s="110">
        <f>IF(SeilBeregnet=0,FB141,(Lwl*0.07+Loa*0.03)^FB$3)</f>
        <v>1.0213091524276201</v>
      </c>
      <c r="FC142" s="110">
        <f>IF(SeilBeregnet=0,"-",FC$7*(FE:FE+FC$6)*FI:FI*PropF+ErfaringsF+Dyp_F)</f>
        <v>0.96909858977778529</v>
      </c>
      <c r="FD142" s="144" t="str">
        <f>IF($DQ142=0,"-",(FC142-$DO142)*100)</f>
        <v>-</v>
      </c>
      <c r="FE142" s="110">
        <f>(FF:FF+FG:FG+FH:FH)^FE$3+FE$7</f>
        <v>5.6213211005182373</v>
      </c>
      <c r="FF142" s="136">
        <f>IF(SeilBeregnet=0,FF141,(SeilBeregnet^0.5/(Depl^0.3333))^FF$3)</f>
        <v>3.4806829518908122</v>
      </c>
      <c r="FG142" s="136">
        <f>IF(SeilBeregnet=0,FG141,(SeilBeregnet^0.5/Lwl*FG$7)^FG$3)</f>
        <v>0.8397374730644328</v>
      </c>
      <c r="FH142" s="136">
        <f>IF(SeilBeregnet=0,FH141,((Loa)/Bredde)^FH$3*FH$7)</f>
        <v>1.8009006755629926</v>
      </c>
      <c r="FI142" s="110">
        <f>IF(SeilBeregnet=0,FI141,(Lwl)^FI$3)</f>
        <v>1.7958015200236968</v>
      </c>
      <c r="FJ142" s="110">
        <f>IF(SeilBeregnet=0,"-",FJ$7*(FL:FL+FJ$6)*FO:FO*PropF+ErfaringsF+Dyp_F)</f>
        <v>0.95887709742492566</v>
      </c>
      <c r="FK142" s="144" t="str">
        <f>IF($DQ142=0,"-",(FJ142-$DO142)*100)</f>
        <v>-</v>
      </c>
      <c r="FL142" s="110">
        <f>(FM:FM*FN:FN)^FL$3</f>
        <v>6.268364279480755</v>
      </c>
      <c r="FM142" s="136">
        <f>IF(SeilBeregnet=0,FM141,(SeilBeregnet^0.5/(Depl^0.3333))^FM$3)</f>
        <v>3.4806829518908122</v>
      </c>
      <c r="FN142" s="136">
        <f>IF(SeilBeregnet=0,FN141,(Loa/Bredde)^FN$3)</f>
        <v>1.8009006755629926</v>
      </c>
      <c r="FO142" s="110">
        <f>IF(SeilBeregnet=0,FO141,Lwl^FO$3)</f>
        <v>1.7958015200236968</v>
      </c>
      <c r="FQ142">
        <v>0.95</v>
      </c>
      <c r="FR142" s="64">
        <f>IF(SeilBeregnet=0,"-",0.06*2.43^(1/2)*(SeilBeregnet^(1/2)/Depl^(1/3)+(Loa/Bredde)^(1/2)+5*(Dypg/Loa)^(1/2))*Lwl^(1/4)*FQ142)</f>
        <v>1.176455393525893</v>
      </c>
      <c r="FS142" s="479"/>
      <c r="FT142" s="18"/>
      <c r="FU142" s="481"/>
      <c r="FV142" s="504"/>
      <c r="FW142" s="18"/>
      <c r="FX142" s="18"/>
      <c r="FY142" s="18"/>
      <c r="FZ142" s="18"/>
      <c r="GB142" s="18"/>
      <c r="GC142" s="481"/>
      <c r="GD142" s="8"/>
      <c r="GE142" s="8"/>
      <c r="GF142" s="8"/>
      <c r="GG142" s="8"/>
      <c r="GI142" s="18"/>
      <c r="GJ142" s="18"/>
      <c r="GK142" s="18"/>
      <c r="GL142" s="18"/>
      <c r="GM142" s="18"/>
      <c r="GN142" s="18"/>
      <c r="GO142" s="18"/>
      <c r="GP142" s="18"/>
    </row>
    <row r="143" spans="1:198" ht="15.6" x14ac:dyDescent="0.3">
      <c r="A143" s="62" t="s">
        <v>32</v>
      </c>
      <c r="B143" s="223"/>
      <c r="C143" s="63" t="str">
        <f t="shared" ref="C143:C144" si="1151">C142</f>
        <v>Gaffel</v>
      </c>
      <c r="D143" s="63"/>
      <c r="E143" s="63"/>
      <c r="F143" s="63"/>
      <c r="G143" s="56"/>
      <c r="H143" s="209">
        <f>TBFavrundet</f>
        <v>94.5</v>
      </c>
      <c r="I143" s="65">
        <f>COUNTA(O143:AD143)</f>
        <v>3</v>
      </c>
      <c r="J143" s="228">
        <f>SUM(O143:AD143)</f>
        <v>83.9</v>
      </c>
      <c r="K143" s="119">
        <f>Seilareal/Depl^0.667/K$7</f>
        <v>1.2171974806562504</v>
      </c>
      <c r="L143" s="119">
        <f>Seilareal/Lwl/Lwl/L$7</f>
        <v>1.1769885989720141</v>
      </c>
      <c r="M143" s="95">
        <f>RiggF</f>
        <v>0.83218116805721098</v>
      </c>
      <c r="N143" s="265">
        <f>StHfaktor</f>
        <v>1.0070358192191537</v>
      </c>
      <c r="O143" s="147"/>
      <c r="P143" s="147"/>
      <c r="Q143" s="169">
        <v>21.4</v>
      </c>
      <c r="R143" s="147"/>
      <c r="S143" s="147"/>
      <c r="T143" s="169">
        <v>15.8</v>
      </c>
      <c r="U143" s="169">
        <v>46.7</v>
      </c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260">
        <f t="shared" si="1143"/>
        <v>11</v>
      </c>
      <c r="AF143" s="375">
        <f t="shared" si="1144"/>
        <v>0</v>
      </c>
      <c r="AG143" s="377"/>
      <c r="AH143" s="375">
        <f t="shared" si="1144"/>
        <v>0</v>
      </c>
      <c r="AI143" s="377"/>
      <c r="AJ143" s="295" t="str">
        <f t="shared" ref="AJ143" si="1152" xml:space="preserve"> AJ142</f>
        <v>Lystb</v>
      </c>
      <c r="AK143" s="47">
        <f>VLOOKUP(AJ143,Skrogform!$1:$1048576,3,FALSE)</f>
        <v>0.98</v>
      </c>
      <c r="AL143" s="66">
        <f t="shared" ref="AL143:AT143" si="1153">AL142</f>
        <v>12</v>
      </c>
      <c r="AM143" s="66">
        <f t="shared" si="1153"/>
        <v>10.4</v>
      </c>
      <c r="AN143" s="66">
        <f t="shared" si="1153"/>
        <v>3.7</v>
      </c>
      <c r="AO143" s="66">
        <f t="shared" si="1153"/>
        <v>2.1</v>
      </c>
      <c r="AP143" s="66">
        <f t="shared" si="1153"/>
        <v>15.8</v>
      </c>
      <c r="AQ143" s="66">
        <f t="shared" si="1153"/>
        <v>5.5</v>
      </c>
      <c r="AR143" s="66">
        <f t="shared" si="1153"/>
        <v>0.2</v>
      </c>
      <c r="AS143" s="284">
        <f t="shared" si="1153"/>
        <v>50</v>
      </c>
      <c r="AT143" s="284">
        <f t="shared" si="1153"/>
        <v>350</v>
      </c>
      <c r="AU143" s="284">
        <f t="shared" ref="AU143:AV143" si="1154">AU142</f>
        <v>200</v>
      </c>
      <c r="AV143" s="284">
        <f t="shared" si="1154"/>
        <v>200</v>
      </c>
      <c r="AW143" s="284"/>
      <c r="AX143" s="284">
        <f>AX142</f>
        <v>0</v>
      </c>
      <c r="AY143" s="68"/>
      <c r="AZ143" s="68"/>
      <c r="BA143" s="289"/>
      <c r="BB143" s="68"/>
      <c r="BC143" s="179"/>
      <c r="BD143" s="68"/>
      <c r="BE143" s="68"/>
      <c r="BF143" s="67" t="str">
        <f t="shared" ref="BF143:BH143" si="1155" xml:space="preserve"> BF142</f>
        <v>Seilrett</v>
      </c>
      <c r="BG143" s="295">
        <f t="shared" si="1155"/>
        <v>4</v>
      </c>
      <c r="BH143" s="295">
        <f t="shared" si="1155"/>
        <v>51</v>
      </c>
      <c r="BI143" s="47">
        <f t="shared" si="1095"/>
        <v>1</v>
      </c>
      <c r="BJ143" s="61"/>
      <c r="BK143" s="61"/>
      <c r="BM143" s="51">
        <f t="shared" si="1149"/>
        <v>0</v>
      </c>
      <c r="BN143" s="51">
        <f t="shared" si="1149"/>
        <v>0</v>
      </c>
      <c r="BO143" s="51">
        <f t="shared" si="1149"/>
        <v>21.4</v>
      </c>
      <c r="BP143" s="51">
        <f t="shared" si="1149"/>
        <v>0</v>
      </c>
      <c r="BQ143" s="51">
        <f t="shared" si="1149"/>
        <v>0</v>
      </c>
      <c r="BR143" s="51">
        <f>IF(T143=0,0,T143*BR$9)</f>
        <v>15.8</v>
      </c>
      <c r="BS143" s="52">
        <f>IF(COUNT(P143:T143)&gt;1,MINA(P143:T143)*BS$9,0)</f>
        <v>-4.74</v>
      </c>
      <c r="BT143" s="88">
        <f t="shared" si="1150"/>
        <v>37.360000000000007</v>
      </c>
      <c r="BU143" s="88">
        <f t="shared" si="1150"/>
        <v>0</v>
      </c>
      <c r="BV143" s="88">
        <f t="shared" si="1150"/>
        <v>0</v>
      </c>
      <c r="BW143" s="88">
        <f t="shared" si="1150"/>
        <v>0</v>
      </c>
      <c r="BX143" s="88">
        <f t="shared" si="1150"/>
        <v>0</v>
      </c>
      <c r="BY143" s="88">
        <f t="shared" si="1150"/>
        <v>0</v>
      </c>
      <c r="BZ143" s="88">
        <f t="shared" si="1150"/>
        <v>0</v>
      </c>
      <c r="CA143" s="88">
        <f t="shared" si="1150"/>
        <v>0</v>
      </c>
      <c r="CB143" s="88">
        <f t="shared" si="1150"/>
        <v>0</v>
      </c>
      <c r="CC143" s="88">
        <f t="shared" si="1150"/>
        <v>0</v>
      </c>
      <c r="CD143" s="103">
        <f>SUM(BM143:CC143)</f>
        <v>69.820000000000007</v>
      </c>
      <c r="CE143" s="52"/>
      <c r="CF143" s="107">
        <f>J143</f>
        <v>83.9</v>
      </c>
      <c r="CG143" s="104">
        <f>CD143/CF143</f>
        <v>0.83218116805721098</v>
      </c>
      <c r="CH143" s="53">
        <f>Seilareal/Lwl/Lwl</f>
        <v>0.77570266272189359</v>
      </c>
      <c r="CI143" s="119">
        <f>Seilareal/Depl^0.667/K$7</f>
        <v>1.2171974806562504</v>
      </c>
      <c r="CJ143" s="53">
        <f>Seilareal/Lwl/Lwl/SApRS1</f>
        <v>1.1769885989720141</v>
      </c>
      <c r="CK143" s="209"/>
      <c r="CL143" s="209">
        <f>(ROUND(TBF/CL$6,3)*CL$6)*CL$4</f>
        <v>94.5</v>
      </c>
      <c r="CM143" s="110">
        <f t="shared" si="234"/>
        <v>0.94725376516232351</v>
      </c>
      <c r="CN143" s="64">
        <f>IF(SeilBeregnet=0,"-",(SeilBeregnet)^(1/2)*StHfaktor/(Depl+DeplTillegg/1000+Vann/1000+Diesel/1000*0.84)^(1/3))</f>
        <v>3.3141307247300382</v>
      </c>
      <c r="CO143" s="64">
        <f t="shared" si="203"/>
        <v>1.7398353448033601</v>
      </c>
      <c r="CP143" s="64">
        <f t="shared" si="204"/>
        <v>1.7958015200236968</v>
      </c>
      <c r="CQ143" s="110">
        <f t="shared" si="205"/>
        <v>1.0070358192191537</v>
      </c>
      <c r="CR143" s="172" t="str">
        <f>IF(CS143=0,"-",IF(CH143="TBF","-",CR$7*CS143))</f>
        <v>-</v>
      </c>
      <c r="CS143" s="162"/>
      <c r="CT143" s="172" t="str">
        <f>IF(CU143=0,"-",IF(CL143="TBF","-",CT$7*CU143))</f>
        <v>-</v>
      </c>
      <c r="CU143" s="164"/>
      <c r="CV143" s="195" t="s">
        <v>145</v>
      </c>
      <c r="CW143" s="64" t="s">
        <v>111</v>
      </c>
      <c r="CX143" s="64" t="s">
        <v>111</v>
      </c>
      <c r="CY143" s="64" t="s">
        <v>111</v>
      </c>
      <c r="CZ143" s="154" t="s">
        <v>111</v>
      </c>
      <c r="DA143" s="64">
        <f t="shared" si="210"/>
        <v>2.1487353342809299</v>
      </c>
      <c r="DB143" s="49">
        <f t="shared" si="393"/>
        <v>13.90728476821192</v>
      </c>
      <c r="DC143" s="50">
        <f>DB$7*IF(DB143&lt;DB$5,-0.04,IF(DB143&lt;DB$5*1.1,-0.03,IF(DB143&lt;DB$5*1.2,-0.02,IF(DB143&lt;DB$5*1.3,-0.01,0))))</f>
        <v>0</v>
      </c>
      <c r="DE143" s="110">
        <f>IF(SeilBeregnet=0,"-",DE$7*(DG:DG+DE$6)*DL:DL*PropF+ErfaringsF+Dyp_F)</f>
        <v>0.93066828968255677</v>
      </c>
      <c r="DF143" s="144" t="str">
        <f>IF($DQ143=0,"-",(DE143-$DO143)*100)</f>
        <v>-</v>
      </c>
      <c r="DG143" s="110">
        <f>SUM(DH143:DK143)^DG$3+DG$7</f>
        <v>5.1311558760056517</v>
      </c>
      <c r="DH143" s="136">
        <f>IF(SeilBeregnet=0,DH142,(SeilBeregnet^0.5/(Depl^0.3333))^DH$3*DH$7)</f>
        <v>3.3302552004426591</v>
      </c>
      <c r="DI143" s="136">
        <f>IF(SeilBeregnet=0,DI142,(SeilBeregnet^0.5/Lwl)^DI$3*DI$7)</f>
        <v>0</v>
      </c>
      <c r="DJ143" s="136">
        <f>IF(SeilBeregnet=0,DJ142,(0.1*Loa/Depl^0.3333)^DJ$3*DJ$7)</f>
        <v>0</v>
      </c>
      <c r="DK143" s="136">
        <f>IF(SeilBeregnet=0,DK142,((Loa)/Bredde)^DK$3*DK$7)</f>
        <v>1.8009006755629926</v>
      </c>
      <c r="DL143" s="110">
        <f>IF(SeilBeregnet=0,DL142,(Lwl)^DL$3)</f>
        <v>1.7958015200236968</v>
      </c>
      <c r="DM143" s="136">
        <f>IF(SeilBeregnet=0,DM142,(Dypg/Loa)^DM$3*5*DM$7)</f>
        <v>2.0916500663351889</v>
      </c>
      <c r="DO143" s="110">
        <f t="shared" si="344"/>
        <v>0.96658547465543221</v>
      </c>
      <c r="DP143" s="110">
        <f t="shared" si="211"/>
        <v>0.93646054430457248</v>
      </c>
      <c r="DR143" s="110">
        <f t="shared" si="212"/>
        <v>0.93086988550635963</v>
      </c>
      <c r="DS143" s="125" t="str">
        <f>IF($DQ143=0,"-",DR143-$DO143)</f>
        <v>-</v>
      </c>
      <c r="DT143" s="110">
        <f>IF(SeilBeregnet=0,"-",DT$7*(DT$4*DV143*DW143*DX143*PropF+DT$6)+ErfaringsF+Dyp_F)</f>
        <v>0.94004394089940602</v>
      </c>
      <c r="DU143" s="125" t="str">
        <f>IF($DQ143=0,"-",DT143-$DO143)</f>
        <v>-</v>
      </c>
      <c r="DV143" s="110">
        <f>IF(SeilBeregnet=0,DV142,SeilBeregnet^0.5/Depl^0.33333)</f>
        <v>3.3299794657345925</v>
      </c>
      <c r="DW143" s="110">
        <f>IF(SeilBeregnet=0,DW142,Lwl^0.3333)</f>
        <v>2.1826153840929692</v>
      </c>
      <c r="DX143" s="110">
        <f>IF(SeilBeregnet=0,DX142,((Loa+Lwl)/Bredde)^DX$3)</f>
        <v>1.5685976988753305</v>
      </c>
      <c r="DZ143" s="110">
        <f>IF(SeilBeregnet=0,"-",DZ$7*(DZ$4*EB143*EC143*ED143*PropF+DZ$6)+ErfaringsF+Dyp_F)</f>
        <v>0.93711425677216909</v>
      </c>
      <c r="EB143" s="110">
        <f>IF(SeilBeregnet=0,EB142,SeilBeregnet^0.5/Depl^0.33333)</f>
        <v>3.3299794657345925</v>
      </c>
      <c r="EC143" s="110">
        <f>IF(SeilBeregnet=0,EC142,Lwl^EC$3)</f>
        <v>2.182768727320779</v>
      </c>
      <c r="ED143" s="110">
        <f>IF(SeilBeregnet=0,ED142,((Loa+Lwl)/Bredde)^ED$3)</f>
        <v>1.8224517114943624</v>
      </c>
      <c r="EE143" s="110">
        <f>IF(SeilBeregnet=0,"-",EE$7*(EE$4*EG143+EE$6)*EJ143*PropF+ErfaringsF+Dyp_F)</f>
        <v>0.9338843725452981</v>
      </c>
      <c r="EG143" s="110">
        <f>IF(SeilBeregnet=0,EG142,(EH143*EI143)^EG$3)</f>
        <v>5.2233981272533843</v>
      </c>
      <c r="EH143" s="110">
        <f>IF(SeilBeregnet=0,EH142,SeilBeregnet^0.5/Depl^0.33333)</f>
        <v>3.3299794657345925</v>
      </c>
      <c r="EI143" s="110">
        <f>IF(SeilBeregnet=0,EI142,((Loa+Lwl)/Bredde)^EI$3)</f>
        <v>1.5685976988753305</v>
      </c>
      <c r="EJ143" s="110">
        <f>IF(SeilBeregnet=0,EJ142,Lwl^EJ$3)</f>
        <v>1.7958015200236968</v>
      </c>
      <c r="EK143" s="110">
        <f>IF(SeilBeregnet=0,"-",EK$7*(EK$4*EM:EM+EK$6)*EP:EP*PropF+ErfaringsF+Dyp_F)</f>
        <v>0.93564695729961844</v>
      </c>
      <c r="EM143" s="110">
        <f>IF(SeilBeregnet=0,EM142,(EN:EN*EO:EO)^EM$3)</f>
        <v>1.8268700594572793</v>
      </c>
      <c r="EN143" s="110">
        <f>IF(SeilBeregnet=0,EN142,SeilBeregnet^0.5/Depl^0.33333)</f>
        <v>3.3299794657345925</v>
      </c>
      <c r="EO143" s="110">
        <f>IF(SeilBeregnet=0,EO142,((Loa+Lwl)/Bredde/6)^EO$3)</f>
        <v>1.0022446830329634</v>
      </c>
      <c r="EP143" s="110">
        <f>IF(SeilBeregnet=0,EP142,(Lwl*0.7+Loa*0.3)^EP$3)</f>
        <v>1.8161730370463405</v>
      </c>
      <c r="EQ143" s="110">
        <f>IF(SeilBeregnet=0,"-",EQ$7*(ES:ES+EQ$6)*EV:EV*PropF+ErfaringsF+Dyp_F)</f>
        <v>0.90794768282812532</v>
      </c>
      <c r="ES143" s="110">
        <f>(ET:ET*EU:EU)^ES$3</f>
        <v>1.8269456937157522</v>
      </c>
      <c r="ET143" s="110">
        <f>IF(SeilBeregnet=0,ET142,SeilBeregnet^0.5/Depl^0.3333)</f>
        <v>3.3302552004426591</v>
      </c>
      <c r="EU143" s="110">
        <f>IF(SeilBeregnet=0,EU142,((Loa+Lwl)/Bredde/6)^EU$3)</f>
        <v>1.0022446830329634</v>
      </c>
      <c r="EV143" s="110">
        <f>IF(SeilBeregnet=0,EV142,(Lwl*0.7+Loa*0.3)^EV$3)</f>
        <v>1.8161730370463405</v>
      </c>
      <c r="EW143" s="110">
        <f>IF(SeilBeregnet=0,"-",EW$7*(EY:EY+EW$6)*FB:FB*PropF+ErfaringsF+Dyp_F)</f>
        <v>0.93351035457461751</v>
      </c>
      <c r="EX143" s="144" t="str">
        <f>IF($DQ143=0,"-",(EW143-$DO143)*100)</f>
        <v>-</v>
      </c>
      <c r="EY143" s="110">
        <f>(EZ:EZ*FA:FA)^EY$3</f>
        <v>3.3452227149606446</v>
      </c>
      <c r="EZ143" s="136">
        <f>IF(SeilBeregnet=0,EZ142,(SeilBeregnet^0.5/(Depl^0.3333))^EZ$3)</f>
        <v>3.3302552004426591</v>
      </c>
      <c r="FA143" s="136">
        <f>IF(SeilBeregnet=0,FA142,((Loa+Lwl)/Bredde/6)^FA$3)</f>
        <v>1.0044944046678452</v>
      </c>
      <c r="FB143" s="110">
        <f>IF(SeilBeregnet=0,FB142,(Lwl*0.07+Loa*0.03)^FB$3)</f>
        <v>1.0213091524276201</v>
      </c>
      <c r="FC143" s="110">
        <f>IF(SeilBeregnet=0,"-",FC$7*(FE:FE+FC$6)*FI:FI*PropF+ErfaringsF+Dyp_F)</f>
        <v>0.93690873064572167</v>
      </c>
      <c r="FD143" s="144" t="str">
        <f>IF($DQ143=0,"-",(FC143-$DO143)*100)</f>
        <v>-</v>
      </c>
      <c r="FE143" s="110">
        <f>(FF:FF+FG:FG+FH:FH)^FE$3+FE$7</f>
        <v>5.4346016725152815</v>
      </c>
      <c r="FF143" s="136">
        <f>IF(SeilBeregnet=0,FF142,(SeilBeregnet^0.5/(Depl^0.3333))^FF$3)</f>
        <v>3.3302552004426591</v>
      </c>
      <c r="FG143" s="136">
        <f>IF(SeilBeregnet=0,FG142,(SeilBeregnet^0.5/Lwl*FG$7)^FG$3)</f>
        <v>0.80344579650963022</v>
      </c>
      <c r="FH143" s="136">
        <f>IF(SeilBeregnet=0,FH142,((Loa)/Bredde)^FH$3*FH$7)</f>
        <v>1.8009006755629926</v>
      </c>
      <c r="FI143" s="110">
        <f>IF(SeilBeregnet=0,FI142,(Lwl)^FI$3)</f>
        <v>1.7958015200236968</v>
      </c>
      <c r="FJ143" s="110">
        <f>IF(SeilBeregnet=0,"-",FJ$7*(FL:FL+FJ$6)*FO:FO*PropF+ErfaringsF+Dyp_F)</f>
        <v>0.9335794926504295</v>
      </c>
      <c r="FK143" s="144" t="str">
        <f>IF($DQ143=0,"-",(FJ143-$DO143)*100)</f>
        <v>-</v>
      </c>
      <c r="FL143" s="110">
        <f>(FM:FM*FN:FN)^FL$3</f>
        <v>5.9974588402743541</v>
      </c>
      <c r="FM143" s="136">
        <f>IF(SeilBeregnet=0,FM142,(SeilBeregnet^0.5/(Depl^0.3333))^FM$3)</f>
        <v>3.3302552004426591</v>
      </c>
      <c r="FN143" s="136">
        <f>IF(SeilBeregnet=0,FN142,(Loa/Bredde)^FN$3)</f>
        <v>1.8009006755629926</v>
      </c>
      <c r="FO143" s="110">
        <f>IF(SeilBeregnet=0,FO142,Lwl^FO$3)</f>
        <v>1.7958015200236968</v>
      </c>
      <c r="FQ143">
        <v>0.95</v>
      </c>
      <c r="FR143" s="64">
        <f>IF(SeilBeregnet=0,"-",0.06*2.43^(1/2)*(SeilBeregnet^(1/2)/Depl^(1/3)+(Loa/Bredde)^(1/2)+5*(Dypg/Loa)^(1/2))*Lwl^(1/4)*FQ143)</f>
        <v>1.1524546699032712</v>
      </c>
      <c r="FS143" s="479"/>
      <c r="FT143" s="18"/>
      <c r="FU143" s="481"/>
      <c r="FV143" s="504"/>
      <c r="FW143" s="18"/>
      <c r="FX143" s="18"/>
      <c r="FY143" s="18"/>
      <c r="FZ143" s="18"/>
      <c r="GB143" s="18"/>
      <c r="GC143" s="481"/>
      <c r="GD143" s="8"/>
      <c r="GE143" s="8"/>
      <c r="GF143" s="8"/>
      <c r="GG143" s="8"/>
      <c r="GI143" s="18"/>
      <c r="GJ143" s="18"/>
      <c r="GK143" s="18"/>
      <c r="GL143" s="18"/>
      <c r="GM143" s="18"/>
      <c r="GN143" s="18"/>
      <c r="GO143" s="18"/>
      <c r="GP143" s="18"/>
    </row>
    <row r="144" spans="1:198" ht="15.6" x14ac:dyDescent="0.3">
      <c r="A144" s="62" t="s">
        <v>33</v>
      </c>
      <c r="B144" s="223"/>
      <c r="C144" s="63" t="str">
        <f t="shared" si="1151"/>
        <v>Gaffel</v>
      </c>
      <c r="D144" s="63"/>
      <c r="E144" s="63"/>
      <c r="F144" s="63"/>
      <c r="G144" s="56"/>
      <c r="H144" s="209" t="e">
        <f>TBFavrundet</f>
        <v>#VALUE!</v>
      </c>
      <c r="I144" s="65">
        <f>COUNTA(O144:AD144)</f>
        <v>0</v>
      </c>
      <c r="J144" s="228">
        <f>SUM(O144:AD144)</f>
        <v>0</v>
      </c>
      <c r="K144" s="119">
        <f>Seilareal/Depl^0.667/K$7</f>
        <v>0</v>
      </c>
      <c r="L144" s="119">
        <f>Seilareal/Lwl/Lwl/L$7</f>
        <v>0</v>
      </c>
      <c r="M144" s="95" t="e">
        <f>RiggF</f>
        <v>#DIV/0!</v>
      </c>
      <c r="N144" s="265" t="str">
        <f>StHfaktor</f>
        <v>-</v>
      </c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260">
        <f t="shared" si="1143"/>
        <v>11</v>
      </c>
      <c r="AF144" s="375">
        <f t="shared" si="1144"/>
        <v>0</v>
      </c>
      <c r="AG144" s="377"/>
      <c r="AH144" s="375">
        <f t="shared" si="1144"/>
        <v>0</v>
      </c>
      <c r="AI144" s="377"/>
      <c r="AJ144" s="295" t="str">
        <f t="shared" ref="AJ144" si="1156" xml:space="preserve"> AJ143</f>
        <v>Lystb</v>
      </c>
      <c r="AK144" s="47">
        <f>VLOOKUP(AJ144,Skrogform!$1:$1048576,3,FALSE)</f>
        <v>0.98</v>
      </c>
      <c r="AL144" s="66">
        <f t="shared" ref="AL144:AT144" si="1157">AL143</f>
        <v>12</v>
      </c>
      <c r="AM144" s="66">
        <f t="shared" si="1157"/>
        <v>10.4</v>
      </c>
      <c r="AN144" s="66">
        <f t="shared" si="1157"/>
        <v>3.7</v>
      </c>
      <c r="AO144" s="66">
        <f t="shared" si="1157"/>
        <v>2.1</v>
      </c>
      <c r="AP144" s="66">
        <f t="shared" si="1157"/>
        <v>15.8</v>
      </c>
      <c r="AQ144" s="66">
        <f t="shared" si="1157"/>
        <v>5.5</v>
      </c>
      <c r="AR144" s="66">
        <f t="shared" si="1157"/>
        <v>0.2</v>
      </c>
      <c r="AS144" s="284">
        <f t="shared" si="1157"/>
        <v>50</v>
      </c>
      <c r="AT144" s="284">
        <f t="shared" si="1157"/>
        <v>350</v>
      </c>
      <c r="AU144" s="284">
        <f t="shared" ref="AU144:AV144" si="1158">AU143</f>
        <v>200</v>
      </c>
      <c r="AV144" s="284">
        <f t="shared" si="1158"/>
        <v>200</v>
      </c>
      <c r="AW144" s="284"/>
      <c r="AX144" s="284">
        <f>AX143</f>
        <v>0</v>
      </c>
      <c r="AY144" s="68"/>
      <c r="AZ144" s="68"/>
      <c r="BA144" s="289"/>
      <c r="BB144" s="68"/>
      <c r="BC144" s="179"/>
      <c r="BD144" s="68"/>
      <c r="BE144" s="68"/>
      <c r="BF144" s="67" t="str">
        <f t="shared" ref="BF144:BH144" si="1159" xml:space="preserve"> BF143</f>
        <v>Seilrett</v>
      </c>
      <c r="BG144" s="295">
        <f t="shared" si="1159"/>
        <v>4</v>
      </c>
      <c r="BH144" s="295">
        <f t="shared" si="1159"/>
        <v>51</v>
      </c>
      <c r="BI144" s="47">
        <f t="shared" si="1095"/>
        <v>1</v>
      </c>
      <c r="BJ144" s="61"/>
      <c r="BK144" s="61"/>
      <c r="BM144" s="51">
        <f t="shared" si="1149"/>
        <v>0</v>
      </c>
      <c r="BN144" s="51">
        <f t="shared" si="1149"/>
        <v>0</v>
      </c>
      <c r="BO144" s="51">
        <f t="shared" si="1149"/>
        <v>0</v>
      </c>
      <c r="BP144" s="51">
        <f t="shared" si="1149"/>
        <v>0</v>
      </c>
      <c r="BQ144" s="51">
        <f t="shared" si="1149"/>
        <v>0</v>
      </c>
      <c r="BR144" s="51">
        <f>IF(T144=0,0,T144*BR$9)</f>
        <v>0</v>
      </c>
      <c r="BS144" s="52">
        <f>IF(COUNT(P144:T144)&gt;1,MINA(P144:T144)*BS$9,0)</f>
        <v>0</v>
      </c>
      <c r="BT144" s="88">
        <f t="shared" si="1150"/>
        <v>0</v>
      </c>
      <c r="BU144" s="88">
        <f t="shared" si="1150"/>
        <v>0</v>
      </c>
      <c r="BV144" s="88">
        <f t="shared" si="1150"/>
        <v>0</v>
      </c>
      <c r="BW144" s="88">
        <f t="shared" si="1150"/>
        <v>0</v>
      </c>
      <c r="BX144" s="88">
        <f t="shared" si="1150"/>
        <v>0</v>
      </c>
      <c r="BY144" s="88">
        <f t="shared" si="1150"/>
        <v>0</v>
      </c>
      <c r="BZ144" s="88">
        <f t="shared" si="1150"/>
        <v>0</v>
      </c>
      <c r="CA144" s="88">
        <f t="shared" si="1150"/>
        <v>0</v>
      </c>
      <c r="CB144" s="88">
        <f t="shared" si="1150"/>
        <v>0</v>
      </c>
      <c r="CC144" s="88">
        <f t="shared" si="1150"/>
        <v>0</v>
      </c>
      <c r="CD144" s="103">
        <f>SUM(BM144:CC144)</f>
        <v>0</v>
      </c>
      <c r="CE144" s="52"/>
      <c r="CF144" s="107">
        <f>J144</f>
        <v>0</v>
      </c>
      <c r="CG144" s="104" t="e">
        <f>CD144/CF144</f>
        <v>#DIV/0!</v>
      </c>
      <c r="CH144" s="53">
        <f>Seilareal/Lwl/Lwl</f>
        <v>0</v>
      </c>
      <c r="CI144" s="119">
        <f>Seilareal/Depl^0.667/K$7</f>
        <v>0</v>
      </c>
      <c r="CJ144" s="53">
        <f>Seilareal/Lwl/Lwl/SApRS1</f>
        <v>0</v>
      </c>
      <c r="CK144" s="209"/>
      <c r="CL144" s="209" t="e">
        <f>(ROUND(TBF/CL$6,3)*CL$6)*CL$4</f>
        <v>#VALUE!</v>
      </c>
      <c r="CM144" s="110" t="str">
        <f t="shared" si="234"/>
        <v>-</v>
      </c>
      <c r="CN144" s="64" t="str">
        <f>IF(SeilBeregnet=0,"-",(SeilBeregnet)^(1/2)*StHfaktor/(Depl+DeplTillegg/1000+Vann/1000+Diesel/1000*0.84)^(1/3))</f>
        <v>-</v>
      </c>
      <c r="CO144" s="64" t="str">
        <f t="shared" si="203"/>
        <v>-</v>
      </c>
      <c r="CP144" s="64" t="str">
        <f t="shared" si="204"/>
        <v>-</v>
      </c>
      <c r="CQ144" s="110" t="str">
        <f t="shared" si="205"/>
        <v>-</v>
      </c>
      <c r="CR144" s="172" t="str">
        <f>IF(CS144=0,"-",IF(CH144="TBF","-",CR$7*CS144))</f>
        <v>-</v>
      </c>
      <c r="CS144" s="162"/>
      <c r="CT144" s="172" t="str">
        <f>IF(CU144=0,"-",IF(CL144="TBF","-",CT$7*CU144))</f>
        <v>-</v>
      </c>
      <c r="CU144" s="164"/>
      <c r="CV144" s="195" t="s">
        <v>145</v>
      </c>
      <c r="CW144" s="64" t="s">
        <v>111</v>
      </c>
      <c r="CX144" s="64" t="s">
        <v>111</v>
      </c>
      <c r="CY144" s="64" t="s">
        <v>111</v>
      </c>
      <c r="CZ144" s="154" t="s">
        <v>111</v>
      </c>
      <c r="DA144" s="64" t="str">
        <f t="shared" si="392"/>
        <v>-</v>
      </c>
      <c r="DB144" s="49">
        <f t="shared" si="393"/>
        <v>13.90728476821192</v>
      </c>
      <c r="DC144" s="50">
        <f>DB$7*IF(DB144&lt;DB$5,-0.04,IF(DB144&lt;DB$5*1.1,-0.03,IF(DB144&lt;DB$5*1.2,-0.02,IF(DB144&lt;DB$5*1.3,-0.01,0))))</f>
        <v>0</v>
      </c>
      <c r="DE144" s="110" t="str">
        <f>IF(SeilBeregnet=0,"-",DE$7*(DG:DG+DE$6)*DL:DL*PropF+ErfaringsF+Dyp_F)</f>
        <v>-</v>
      </c>
      <c r="DF144" s="144" t="str">
        <f>IF($DQ144=0,"-",(DE144-$DO144)*100)</f>
        <v>-</v>
      </c>
      <c r="DG144" s="110">
        <f>SUM(DH144:DK144)^DG$3+DG$7</f>
        <v>5.1311558760056517</v>
      </c>
      <c r="DH144" s="136">
        <f>IF(SeilBeregnet=0,DH143,(SeilBeregnet^0.5/(Depl^0.3333))^DH$3*DH$7)</f>
        <v>3.3302552004426591</v>
      </c>
      <c r="DI144" s="136">
        <f>IF(SeilBeregnet=0,DI143,(SeilBeregnet^0.5/Lwl)^DI$3*DI$7)</f>
        <v>0</v>
      </c>
      <c r="DJ144" s="136">
        <f>IF(SeilBeregnet=0,DJ143,(0.1*Loa/Depl^0.3333)^DJ$3*DJ$7)</f>
        <v>0</v>
      </c>
      <c r="DK144" s="136">
        <f>IF(SeilBeregnet=0,DK143,((Loa)/Bredde)^DK$3*DK$7)</f>
        <v>1.8009006755629926</v>
      </c>
      <c r="DL144" s="110">
        <f>IF(SeilBeregnet=0,DL143,(Lwl)^DL$3)</f>
        <v>1.7958015200236968</v>
      </c>
      <c r="DM144" s="136">
        <f>IF(SeilBeregnet=0,DM143,(Dypg/Loa)^DM$3*5*DM$7)</f>
        <v>2.0916500663351889</v>
      </c>
      <c r="DO144" s="110" t="str">
        <f t="shared" si="344"/>
        <v>-</v>
      </c>
      <c r="DP144" s="110" t="str">
        <f t="shared" si="396"/>
        <v>-</v>
      </c>
      <c r="DR144" s="110" t="str">
        <f t="shared" si="397"/>
        <v>-</v>
      </c>
      <c r="DS144" s="125" t="str">
        <f>IF($DQ144=0,"-",DR144-$DO144)</f>
        <v>-</v>
      </c>
      <c r="DT144" s="110" t="str">
        <f>IF(SeilBeregnet=0,"-",DT$7*(DT$4*DV144*DW144*DX144*PropF+DT$6)+ErfaringsF+Dyp_F)</f>
        <v>-</v>
      </c>
      <c r="DU144" s="125" t="str">
        <f>IF($DQ144=0,"-",DT144-$DO144)</f>
        <v>-</v>
      </c>
      <c r="DV144" s="110">
        <f>IF(SeilBeregnet=0,DV143,SeilBeregnet^0.5/Depl^0.33333)</f>
        <v>3.3299794657345925</v>
      </c>
      <c r="DW144" s="110">
        <f>IF(SeilBeregnet=0,DW143,Lwl^0.3333)</f>
        <v>2.1826153840929692</v>
      </c>
      <c r="DX144" s="110">
        <f>IF(SeilBeregnet=0,DX143,((Loa+Lwl)/Bredde)^DX$3)</f>
        <v>1.5685976988753305</v>
      </c>
      <c r="DZ144" s="110" t="str">
        <f>IF(SeilBeregnet=0,"-",DZ$7*(DZ$4*EB144*EC144*ED144*PropF+DZ$6)+ErfaringsF+Dyp_F)</f>
        <v>-</v>
      </c>
      <c r="EB144" s="110">
        <f>IF(SeilBeregnet=0,EB143,SeilBeregnet^0.5/Depl^0.33333)</f>
        <v>3.3299794657345925</v>
      </c>
      <c r="EC144" s="110">
        <f>IF(SeilBeregnet=0,EC143,Lwl^EC$3)</f>
        <v>2.182768727320779</v>
      </c>
      <c r="ED144" s="110">
        <f>IF(SeilBeregnet=0,ED143,((Loa+Lwl)/Bredde)^ED$3)</f>
        <v>1.8224517114943624</v>
      </c>
      <c r="EE144" s="110" t="str">
        <f>IF(SeilBeregnet=0,"-",EE$7*(EE$4*EG144+EE$6)*EJ144*PropF+ErfaringsF+Dyp_F)</f>
        <v>-</v>
      </c>
      <c r="EG144" s="110">
        <f>IF(SeilBeregnet=0,EG143,(EH144*EI144)^EG$3)</f>
        <v>5.2233981272533843</v>
      </c>
      <c r="EH144" s="110">
        <f>IF(SeilBeregnet=0,EH143,SeilBeregnet^0.5/Depl^0.33333)</f>
        <v>3.3299794657345925</v>
      </c>
      <c r="EI144" s="110">
        <f>IF(SeilBeregnet=0,EI143,((Loa+Lwl)/Bredde)^EI$3)</f>
        <v>1.5685976988753305</v>
      </c>
      <c r="EJ144" s="110">
        <f>IF(SeilBeregnet=0,EJ143,Lwl^EJ$3)</f>
        <v>1.7958015200236968</v>
      </c>
      <c r="EK144" s="110" t="str">
        <f>IF(SeilBeregnet=0,"-",EK$7*(EK$4*EM:EM+EK$6)*EP:EP*PropF+ErfaringsF+Dyp_F)</f>
        <v>-</v>
      </c>
      <c r="EM144" s="110">
        <f>IF(SeilBeregnet=0,EM143,(EN:EN*EO:EO)^EM$3)</f>
        <v>1.8268700594572793</v>
      </c>
      <c r="EN144" s="110">
        <f>IF(SeilBeregnet=0,EN143,SeilBeregnet^0.5/Depl^0.33333)</f>
        <v>3.3299794657345925</v>
      </c>
      <c r="EO144" s="110">
        <f>IF(SeilBeregnet=0,EO143,((Loa+Lwl)/Bredde/6)^EO$3)</f>
        <v>1.0022446830329634</v>
      </c>
      <c r="EP144" s="110">
        <f>IF(SeilBeregnet=0,EP143,(Lwl*0.7+Loa*0.3)^EP$3)</f>
        <v>1.8161730370463405</v>
      </c>
      <c r="EQ144" s="110" t="str">
        <f>IF(SeilBeregnet=0,"-",EQ$7*(ES:ES+EQ$6)*EV:EV*PropF+ErfaringsF+Dyp_F)</f>
        <v>-</v>
      </c>
      <c r="ES144" s="110">
        <f>(ET:ET*EU:EU)^ES$3</f>
        <v>1.8269456937157522</v>
      </c>
      <c r="ET144" s="110">
        <f>IF(SeilBeregnet=0,ET143,SeilBeregnet^0.5/Depl^0.3333)</f>
        <v>3.3302552004426591</v>
      </c>
      <c r="EU144" s="110">
        <f>IF(SeilBeregnet=0,EU143,((Loa+Lwl)/Bredde/6)^EU$3)</f>
        <v>1.0022446830329634</v>
      </c>
      <c r="EV144" s="110">
        <f>IF(SeilBeregnet=0,EV143,(Lwl*0.7+Loa*0.3)^EV$3)</f>
        <v>1.8161730370463405</v>
      </c>
      <c r="EW144" s="110" t="str">
        <f>IF(SeilBeregnet=0,"-",EW$7*(EY:EY+EW$6)*FB:FB*PropF+ErfaringsF+Dyp_F)</f>
        <v>-</v>
      </c>
      <c r="EX144" s="144" t="str">
        <f>IF($DQ144=0,"-",(EW144-$DO144)*100)</f>
        <v>-</v>
      </c>
      <c r="EY144" s="110">
        <f>(EZ:EZ*FA:FA)^EY$3</f>
        <v>3.3452227149606446</v>
      </c>
      <c r="EZ144" s="136">
        <f>IF(SeilBeregnet=0,EZ143,(SeilBeregnet^0.5/(Depl^0.3333))^EZ$3)</f>
        <v>3.3302552004426591</v>
      </c>
      <c r="FA144" s="136">
        <f>IF(SeilBeregnet=0,FA143,((Loa+Lwl)/Bredde/6)^FA$3)</f>
        <v>1.0044944046678452</v>
      </c>
      <c r="FB144" s="110">
        <f>IF(SeilBeregnet=0,FB143,(Lwl*0.07+Loa*0.03)^FB$3)</f>
        <v>1.0213091524276201</v>
      </c>
      <c r="FC144" s="110" t="str">
        <f>IF(SeilBeregnet=0,"-",FC$7*(FE:FE+FC$6)*FI:FI*PropF+ErfaringsF+Dyp_F)</f>
        <v>-</v>
      </c>
      <c r="FD144" s="144" t="str">
        <f>IF($DQ144=0,"-",(FC144-$DO144)*100)</f>
        <v>-</v>
      </c>
      <c r="FE144" s="110">
        <f>(FF:FF+FG:FG+FH:FH)^FE$3+FE$7</f>
        <v>5.4346016725152815</v>
      </c>
      <c r="FF144" s="136">
        <f>IF(SeilBeregnet=0,FF143,(SeilBeregnet^0.5/(Depl^0.3333))^FF$3)</f>
        <v>3.3302552004426591</v>
      </c>
      <c r="FG144" s="136">
        <f>IF(SeilBeregnet=0,FG143,(SeilBeregnet^0.5/Lwl*FG$7)^FG$3)</f>
        <v>0.80344579650963022</v>
      </c>
      <c r="FH144" s="136">
        <f>IF(SeilBeregnet=0,FH143,((Loa)/Bredde)^FH$3*FH$7)</f>
        <v>1.8009006755629926</v>
      </c>
      <c r="FI144" s="110">
        <f>IF(SeilBeregnet=0,FI143,(Lwl)^FI$3)</f>
        <v>1.7958015200236968</v>
      </c>
      <c r="FJ144" s="110" t="str">
        <f>IF(SeilBeregnet=0,"-",FJ$7*(FL:FL+FJ$6)*FO:FO*PropF+ErfaringsF+Dyp_F)</f>
        <v>-</v>
      </c>
      <c r="FK144" s="144" t="str">
        <f>IF($DQ144=0,"-",(FJ144-$DO144)*100)</f>
        <v>-</v>
      </c>
      <c r="FL144" s="110">
        <f>(FM:FM*FN:FN)^FL$3</f>
        <v>5.9974588402743541</v>
      </c>
      <c r="FM144" s="136">
        <f>IF(SeilBeregnet=0,FM143,(SeilBeregnet^0.5/(Depl^0.3333))^FM$3)</f>
        <v>3.3302552004426591</v>
      </c>
      <c r="FN144" s="136">
        <f>IF(SeilBeregnet=0,FN143,(Loa/Bredde)^FN$3)</f>
        <v>1.8009006755629926</v>
      </c>
      <c r="FO144" s="110">
        <f>IF(SeilBeregnet=0,FO143,Lwl^FO$3)</f>
        <v>1.7958015200236968</v>
      </c>
      <c r="FQ144">
        <v>0.95</v>
      </c>
      <c r="FR144" s="64" t="str">
        <f>IF(SeilBeregnet=0,"-",0.06*2.43^(1/2)*(SeilBeregnet^(1/2)/Depl^(1/3)+(Loa/Bredde)^(1/2)+5*(Dypg/Loa)^(1/2))*Lwl^(1/4)*FQ144)</f>
        <v>-</v>
      </c>
      <c r="FS144" s="479"/>
      <c r="FT144" s="18"/>
      <c r="FU144" s="481"/>
      <c r="FV144" s="504"/>
      <c r="FW144" s="18"/>
      <c r="FX144" s="18"/>
      <c r="FY144" s="18"/>
      <c r="FZ144" s="18"/>
      <c r="GB144" s="18"/>
      <c r="GC144" s="481"/>
      <c r="GD144" s="8"/>
      <c r="GE144" s="8"/>
      <c r="GF144" s="8"/>
      <c r="GG144" s="8"/>
      <c r="GI144" s="18"/>
      <c r="GJ144" s="18"/>
      <c r="GK144" s="18"/>
      <c r="GL144" s="18"/>
      <c r="GM144" s="18"/>
      <c r="GN144" s="18"/>
      <c r="GO144" s="18"/>
      <c r="GP144" s="18"/>
    </row>
    <row r="145" spans="1:198" ht="15.6" x14ac:dyDescent="0.3">
      <c r="A145" s="54" t="s">
        <v>34</v>
      </c>
      <c r="B145" s="223">
        <f t="shared" ref="B145" si="1160">Loa/0.3048</f>
        <v>24.278215223097114</v>
      </c>
      <c r="C145" s="14" t="s">
        <v>22</v>
      </c>
      <c r="G145" s="56" t="s">
        <v>35</v>
      </c>
      <c r="H145" s="209"/>
      <c r="I145" s="126" t="str">
        <f>A145</f>
        <v>Kathleen II</v>
      </c>
      <c r="J145" s="229"/>
      <c r="K145" s="119"/>
      <c r="L145" s="119"/>
      <c r="M145" s="95"/>
      <c r="N145" s="265"/>
      <c r="O145" s="169"/>
      <c r="P145" s="169"/>
      <c r="Q145" s="169">
        <v>7.5</v>
      </c>
      <c r="R145" s="169">
        <v>4.5</v>
      </c>
      <c r="S145" s="169"/>
      <c r="T145" s="169">
        <v>7</v>
      </c>
      <c r="U145" s="169">
        <v>22.4</v>
      </c>
      <c r="V145" s="181">
        <f>StorS-StorS/6</f>
        <v>18.666666666666664</v>
      </c>
      <c r="W145" s="181">
        <f>StorS-StorS/6*1.9</f>
        <v>15.306666666666667</v>
      </c>
      <c r="X145" s="169"/>
      <c r="Y145" s="169">
        <v>5.5</v>
      </c>
      <c r="Z145" s="169"/>
      <c r="AA145" s="169"/>
      <c r="AB145" s="169"/>
      <c r="AC145" s="169"/>
      <c r="AD145" s="169"/>
      <c r="AE145" s="270">
        <v>7.14</v>
      </c>
      <c r="AF145" s="296"/>
      <c r="AG145" s="377"/>
      <c r="AH145" s="296"/>
      <c r="AI145" s="377"/>
      <c r="AJ145" s="296" t="s">
        <v>229</v>
      </c>
      <c r="AK145" s="47">
        <f>VLOOKUP(AJ145,Skrogform!$1:$1048576,3,FALSE)</f>
        <v>0.97</v>
      </c>
      <c r="AL145" s="57">
        <v>7.4</v>
      </c>
      <c r="AM145" s="57">
        <v>6.4</v>
      </c>
      <c r="AN145" s="57">
        <v>2.2000000000000002</v>
      </c>
      <c r="AO145" s="57">
        <v>0.95</v>
      </c>
      <c r="AP145" s="57">
        <v>2.8</v>
      </c>
      <c r="AQ145" s="57">
        <v>1</v>
      </c>
      <c r="AR145" s="57">
        <v>0.3</v>
      </c>
      <c r="AS145" s="281"/>
      <c r="AT145" s="282">
        <f>AS145*7</f>
        <v>0</v>
      </c>
      <c r="AU145" s="281">
        <f>ROUND(Depl*10,-2)</f>
        <v>0</v>
      </c>
      <c r="AV145" s="281">
        <f>ROUND(Depl*10,-2)</f>
        <v>0</v>
      </c>
      <c r="AW145" s="270">
        <f>Depl+Diesel/1000+Vann/1000</f>
        <v>2.8</v>
      </c>
      <c r="AX145" s="281"/>
      <c r="AY145" s="98">
        <f>Bredde/(Loa+Lwl)*2</f>
        <v>0.31884057971014496</v>
      </c>
      <c r="AZ145" s="98">
        <f>(Kjøl+Ballast)/Depl</f>
        <v>0.46428571428571436</v>
      </c>
      <c r="BA145" s="288">
        <f>BA$7*((Depl-Kjøl-Ballast-VektMotor/1000-VektAnnet/1000)/Loa/Lwl/Bredde)</f>
        <v>0.62290669360961126</v>
      </c>
      <c r="BB145" s="98">
        <f>BB$7*(Depl/Loa/Lwl/Lwl)</f>
        <v>0.69367257254464287</v>
      </c>
      <c r="BC145" s="178">
        <f>BC$7*(Depl/Loa/Lwl/Bredde)</f>
        <v>0.74590604707792207</v>
      </c>
      <c r="BD145" s="98">
        <f>BD$7*Bredde/(Loa+Lwl)*2</f>
        <v>0.90955275050646722</v>
      </c>
      <c r="BE145" s="98">
        <f>BE$7*(Dypg/Lwl)</f>
        <v>0.81188858695652155</v>
      </c>
      <c r="BF145" s="58"/>
      <c r="BG145" s="296"/>
      <c r="BH145" s="296"/>
      <c r="BI145" s="47">
        <f t="shared" si="1095"/>
        <v>1</v>
      </c>
      <c r="BJ145" s="61"/>
      <c r="BK145" s="61"/>
      <c r="BM145" s="214"/>
      <c r="BN145" s="214" t="str">
        <f>$A145</f>
        <v>Kathleen II</v>
      </c>
      <c r="BO145" s="10"/>
      <c r="BP145" s="10"/>
      <c r="BQ145" s="10"/>
      <c r="BR145" s="10"/>
      <c r="BS145" s="52"/>
      <c r="BT145" s="214" t="str">
        <f>$A145</f>
        <v>Kathleen II</v>
      </c>
      <c r="BU145" s="10"/>
      <c r="BV145" s="10"/>
      <c r="BW145" s="10"/>
      <c r="BX145" s="10"/>
      <c r="BY145" s="10"/>
      <c r="BZ145" s="10"/>
      <c r="CA145" s="10"/>
      <c r="CB145" s="10"/>
      <c r="CC145" s="10"/>
      <c r="CD145" s="214"/>
      <c r="CE145" s="10"/>
      <c r="CF145" s="214" t="str">
        <f>$A145</f>
        <v>Kathleen II</v>
      </c>
      <c r="CG145" s="212"/>
      <c r="CH145" s="212"/>
      <c r="CI145" s="119"/>
      <c r="CJ145" s="212"/>
      <c r="CK145" s="208"/>
      <c r="CL145" s="208" t="s">
        <v>26</v>
      </c>
      <c r="CM145" s="110" t="str">
        <f t="shared" si="690"/>
        <v>-</v>
      </c>
      <c r="CN145" s="64" t="str">
        <f>IF(SeilBeregnet=0,"-",(SeilBeregnet)^(1/2)*StHfaktor/(Depl+DeplTillegg/1000+Vann/1000+Diesel/1000*0.84)^(1/3))</f>
        <v>-</v>
      </c>
      <c r="CO145" s="64" t="str">
        <f t="shared" si="1140"/>
        <v>-</v>
      </c>
      <c r="CP145" s="64" t="str">
        <f t="shared" si="1141"/>
        <v>-</v>
      </c>
      <c r="CQ145" s="110" t="str">
        <f t="shared" si="1142"/>
        <v>-</v>
      </c>
      <c r="CR145" s="172">
        <f t="shared" si="965"/>
        <v>0.94211764705882362</v>
      </c>
      <c r="CS145" s="162">
        <v>0.91</v>
      </c>
      <c r="CT145" s="172" t="str">
        <f t="shared" si="966"/>
        <v>-</v>
      </c>
      <c r="CU145" s="164">
        <v>1.17</v>
      </c>
      <c r="CV145" s="195" t="s">
        <v>145</v>
      </c>
      <c r="CW145" s="30" t="s">
        <v>26</v>
      </c>
      <c r="CX145" s="30" t="s">
        <v>26</v>
      </c>
      <c r="CY145" s="30" t="s">
        <v>26</v>
      </c>
      <c r="CZ145" s="153">
        <v>2022</v>
      </c>
      <c r="DA145" s="64" t="str">
        <f t="shared" si="1096"/>
        <v>-</v>
      </c>
      <c r="DB145" s="49">
        <f t="shared" si="1097"/>
        <v>9.8958333333333321</v>
      </c>
      <c r="DC145" s="50">
        <f t="shared" si="1098"/>
        <v>0</v>
      </c>
      <c r="DE145" s="110" t="str">
        <f>IF(SeilBeregnet=0,"-",DE$7*(DG:DG+DE$6)*DL:DL*PropF+ErfaringsF+Dyp_F)</f>
        <v>-</v>
      </c>
      <c r="DF145" s="144" t="str">
        <f t="shared" ref="DF145:DF185" si="1161">IF($DQ145=0,"-",(DE145-$DO145)*100)</f>
        <v>-</v>
      </c>
      <c r="DG145" s="110">
        <f t="shared" si="1099"/>
        <v>4.3286689419696174</v>
      </c>
      <c r="DH145" s="136">
        <f>IF(SeilBeregnet=0,DH46,(SeilBeregnet^0.5/(Depl^0.3333))^DH$3*DH$7)</f>
        <v>2.5004277780569737</v>
      </c>
      <c r="DI145" s="136">
        <f>IF(SeilBeregnet=0,DI46,(SeilBeregnet^0.5/Lwl)^DI$3*DI$7)</f>
        <v>0</v>
      </c>
      <c r="DJ145" s="136">
        <f>IF(SeilBeregnet=0,DJ46,(0.1*Loa/Depl^0.3333)^DJ$3*DJ$7)</f>
        <v>0</v>
      </c>
      <c r="DK145" s="136">
        <f>IF(SeilBeregnet=0,DK46,((Loa)/Bredde)^DK$3*DK$7)</f>
        <v>1.8282411639126435</v>
      </c>
      <c r="DL145" s="110">
        <f>IF(SeilBeregnet=0,DL46,(Lwl)^DL$3)</f>
        <v>1.800102871839254</v>
      </c>
      <c r="DM145" s="136">
        <f>IF(SeilBeregnet=0,DM46,(Dypg/Loa)^DM$3*5*DM$7)</f>
        <v>1.9470448393802795</v>
      </c>
      <c r="DO145" s="110" t="str">
        <f t="shared" si="733"/>
        <v>-</v>
      </c>
      <c r="DP145" s="110" t="str">
        <f t="shared" si="1100"/>
        <v>-</v>
      </c>
      <c r="DR145" s="110" t="str">
        <f t="shared" si="1101"/>
        <v>-</v>
      </c>
      <c r="DS145" s="125" t="str">
        <f t="shared" ref="DS145:DS185" si="1162">IF($DQ145=0,"-",DR145-$DO145)</f>
        <v>-</v>
      </c>
      <c r="DT145" s="110" t="str">
        <f t="shared" si="1102"/>
        <v>-</v>
      </c>
      <c r="DU145" s="125" t="str">
        <f t="shared" ref="DU145:DU185" si="1163">IF($DQ145=0,"-",DT145-$DO145)</f>
        <v>-</v>
      </c>
      <c r="DV145" s="110">
        <f>IF(SeilBeregnet=0,DV46,SeilBeregnet^0.5/Depl^0.33333)</f>
        <v>2.500217954862535</v>
      </c>
      <c r="DW145" s="110">
        <f>IF(SeilBeregnet=0,DW46,Lwl^0.3333)</f>
        <v>2.1895879451208748</v>
      </c>
      <c r="DX145" s="110">
        <f>IF(SeilBeregnet=0,DX46,((Loa+Lwl)/Bredde)^DX$3)</f>
        <v>1.579185865474966</v>
      </c>
      <c r="DZ145" s="110" t="str">
        <f t="shared" si="1103"/>
        <v>-</v>
      </c>
      <c r="EB145" s="110">
        <f>IF(SeilBeregnet=0,EB46,SeilBeregnet^0.5/Depl^0.33333)</f>
        <v>2.500217954862535</v>
      </c>
      <c r="EC145" s="110">
        <f>IF(SeilBeregnet=0,EC46,Lwl^EC$3)</f>
        <v>2.1897424068563001</v>
      </c>
      <c r="ED145" s="110">
        <f>IF(SeilBeregnet=0,ED46,((Loa+Lwl)/Bredde)^ED$3)</f>
        <v>1.8388707573234102</v>
      </c>
      <c r="EE145" s="110" t="str">
        <f t="shared" si="1104"/>
        <v>-</v>
      </c>
      <c r="EG145" s="110">
        <f>IF(SeilBeregnet=0,EG46,(EH145*EI145)^EG$3)</f>
        <v>3.9483088549256418</v>
      </c>
      <c r="EH145" s="110">
        <f>IF(SeilBeregnet=0,EH46,SeilBeregnet^0.5/Depl^0.33333)</f>
        <v>2.500217954862535</v>
      </c>
      <c r="EI145" s="110">
        <f>IF(SeilBeregnet=0,EI46,((Loa+Lwl)/Bredde)^EI$3)</f>
        <v>1.579185865474966</v>
      </c>
      <c r="EJ145" s="110">
        <f>IF(SeilBeregnet=0,EJ46,Lwl^EJ$3)</f>
        <v>1.800102871839254</v>
      </c>
      <c r="EK145" s="110" t="str">
        <f>IF(SeilBeregnet=0,"-",EK$7*(EK$4*EM:EM+EK$6)*EP:EP*PropF+ErfaringsF+Dyp_F)</f>
        <v>-</v>
      </c>
      <c r="EM145" s="110">
        <f>IF(SeilBeregnet=0,EM46,(EN:EN*EO:EO)^EM$3)</f>
        <v>1.5883150557396459</v>
      </c>
      <c r="EN145" s="110">
        <f>IF(SeilBeregnet=0,EN46,SeilBeregnet^0.5/Depl^0.33333)</f>
        <v>2.500217954862535</v>
      </c>
      <c r="EO145" s="110">
        <f>IF(SeilBeregnet=0,EO46,((Loa+Lwl)/Bredde/6)^EO$3)</f>
        <v>1.0090099190684112</v>
      </c>
      <c r="EP145" s="110">
        <f>IF(SeilBeregnet=0,EP46,(Lwl*0.7+Loa*0.3)^EP$3)</f>
        <v>1.8215740458755476</v>
      </c>
      <c r="EQ145" s="110" t="str">
        <f>IF(SeilBeregnet=0,"-",EQ$7*(ES:ES+EQ$6)*EV:EV*PropF+ErfaringsF+Dyp_F)</f>
        <v>-</v>
      </c>
      <c r="ES145" s="110">
        <f>(ET:ET*EU:EU)^ES$3</f>
        <v>1.5883817015987292</v>
      </c>
      <c r="ET145" s="110">
        <f>IF(SeilBeregnet=0,ET46,SeilBeregnet^0.5/Depl^0.3333)</f>
        <v>2.5004277780569737</v>
      </c>
      <c r="EU145" s="110">
        <f>IF(SeilBeregnet=0,EU46,((Loa+Lwl)/Bredde/6)^EU$3)</f>
        <v>1.0090099190684112</v>
      </c>
      <c r="EV145" s="110">
        <f>IF(SeilBeregnet=0,EV46,(Lwl*0.7+Loa*0.3)^EV$3)</f>
        <v>1.8215740458755476</v>
      </c>
      <c r="EW145" s="110" t="str">
        <f>IF(SeilBeregnet=0,"-",EW$7*(EY:EY+EW$6)*FB:FB*PropF+ErfaringsF+Dyp_F)</f>
        <v>-</v>
      </c>
      <c r="EX145" s="144" t="str">
        <f t="shared" si="237"/>
        <v>-</v>
      </c>
      <c r="EY145" s="110">
        <f>(EZ:EZ*FA:FA)^EY$3</f>
        <v>2.5456880632208647</v>
      </c>
      <c r="EZ145" s="136">
        <f>IF(SeilBeregnet=0,EZ46,(SeilBeregnet^0.5/(Depl^0.3333))^EZ$3)</f>
        <v>2.5004277780569737</v>
      </c>
      <c r="FA145" s="136">
        <f>IF(SeilBeregnet=0,FA46,((Loa+Lwl)/Bredde/6)^FA$3)</f>
        <v>1.0181010167784417</v>
      </c>
      <c r="FB145" s="110">
        <f>IF(SeilBeregnet=0,FB46,(Lwl*0.07+Loa*0.03)^FB$3)</f>
        <v>1.0243463628900011</v>
      </c>
      <c r="FC145" s="110" t="str">
        <f>IF(SeilBeregnet=0,"-",FC$7*(FE:FE+FC$6)*FI:FI*PropF+ErfaringsF+Dyp_F)</f>
        <v>-</v>
      </c>
      <c r="FD145" s="144" t="str">
        <f t="shared" si="238"/>
        <v>-</v>
      </c>
      <c r="FE145" s="110">
        <f>(FF:FF+FG:FG+FH:FH)^FE$3+FE$7</f>
        <v>4.4336370358041792</v>
      </c>
      <c r="FF145" s="136">
        <f>IF(SeilBeregnet=0,FF46,(SeilBeregnet^0.5/(Depl^0.3333))^FF$3)</f>
        <v>2.5004277780569737</v>
      </c>
      <c r="FG145" s="136">
        <f>IF(SeilBeregnet=0,FG46,(SeilBeregnet^0.5/Lwl*FG$7)^FG$3)</f>
        <v>0.60496809383456185</v>
      </c>
      <c r="FH145" s="136">
        <f>IF(SeilBeregnet=0,FH46,((Loa)/Bredde)^FH$3*FH$7)</f>
        <v>1.8282411639126435</v>
      </c>
      <c r="FI145" s="110">
        <f>IF(SeilBeregnet=0,FI46,(Lwl)^FI$3)</f>
        <v>1.800102871839254</v>
      </c>
      <c r="FJ145" s="110" t="str">
        <f>IF(SeilBeregnet=0,"-",FJ$7*(FL:FL+FJ$6)*FO:FO*PropF+ErfaringsF+Dyp_F)</f>
        <v>-</v>
      </c>
      <c r="FK145" s="144" t="str">
        <f t="shared" si="239"/>
        <v>-</v>
      </c>
      <c r="FL145" s="110">
        <f>(FM:FM*FN:FN)^FL$3</f>
        <v>4.5713849912343862</v>
      </c>
      <c r="FM145" s="136">
        <f>IF(SeilBeregnet=0,FM46,(SeilBeregnet^0.5/(Depl^0.3333))^FM$3)</f>
        <v>2.5004277780569737</v>
      </c>
      <c r="FN145" s="136">
        <f>IF(SeilBeregnet=0,FN46,(Loa/Bredde)^FN$3)</f>
        <v>1.8282411639126435</v>
      </c>
      <c r="FO145" s="110">
        <f>IF(SeilBeregnet=0,FO46,Lwl^FO$3)</f>
        <v>1.800102871839254</v>
      </c>
      <c r="FQ145">
        <v>0.95</v>
      </c>
      <c r="FR145" s="64" t="str">
        <f t="shared" ref="FR145:FR151" si="1164">IF(SeilBeregnet=0,"-",0.06*2.43^(1/2)*(SeilBeregnet^(1/2)/Depl^(1/3)+(Loa/Bredde)^(1/2)+5*(Dypg/Loa)^(1/2))*Lwl^(1/4)*FQ145)</f>
        <v>-</v>
      </c>
      <c r="FS145" s="480"/>
      <c r="FT145" s="59"/>
      <c r="FU145" s="475"/>
      <c r="FV145" s="77"/>
      <c r="FW145" s="59"/>
      <c r="FX145" s="59"/>
      <c r="FY145" s="59"/>
      <c r="FZ145" s="59"/>
      <c r="GB145" s="59" t="s">
        <v>522</v>
      </c>
      <c r="GC145" s="475" t="s">
        <v>522</v>
      </c>
      <c r="GD145" s="60" t="s">
        <v>522</v>
      </c>
      <c r="GE145" s="60" t="s">
        <v>522</v>
      </c>
      <c r="GF145" s="60" t="s">
        <v>522</v>
      </c>
      <c r="GG145" s="60" t="s">
        <v>522</v>
      </c>
      <c r="GI145" s="59" t="s">
        <v>514</v>
      </c>
      <c r="GJ145" s="59" t="s">
        <v>611</v>
      </c>
      <c r="GK145" s="59" t="s">
        <v>508</v>
      </c>
      <c r="GL145" s="59"/>
      <c r="GM145" s="59"/>
      <c r="GN145" s="59"/>
      <c r="GO145" s="59"/>
      <c r="GP145" s="59"/>
    </row>
    <row r="146" spans="1:198" ht="15.6" x14ac:dyDescent="0.3">
      <c r="A146" s="62" t="s">
        <v>31</v>
      </c>
      <c r="B146" s="223"/>
      <c r="C146" s="63" t="str">
        <f>C145</f>
        <v>Gaffel</v>
      </c>
      <c r="D146" s="63"/>
      <c r="E146" s="63"/>
      <c r="F146" s="63"/>
      <c r="G146" s="56"/>
      <c r="H146" s="209">
        <f t="shared" ref="H146:H152" si="1165">TBFavrundet</f>
        <v>95.5</v>
      </c>
      <c r="I146" s="65">
        <f t="shared" ref="I146:I152" si="1166">COUNTA(O146:AD146)</f>
        <v>4</v>
      </c>
      <c r="J146" s="228">
        <f t="shared" ref="J146:J152" si="1167">SUM(O146:AD146)</f>
        <v>42.4</v>
      </c>
      <c r="K146" s="119">
        <f t="shared" ref="K146:K152" si="1168">Seilareal/Depl^0.667/K$7</f>
        <v>1.9508092700392057</v>
      </c>
      <c r="L146" s="119">
        <f t="shared" ref="L146:L152" si="1169">Seilareal/Lwl/Lwl/L$7</f>
        <v>1.5706625269654837</v>
      </c>
      <c r="M146" s="95">
        <f t="shared" ref="M146:M152" si="1170">RiggF</f>
        <v>0.77995283018867922</v>
      </c>
      <c r="N146" s="265">
        <f t="shared" ref="N146:N152" si="1171">StHfaktor</f>
        <v>1.013770804188977</v>
      </c>
      <c r="O146" s="147"/>
      <c r="P146" s="147"/>
      <c r="Q146" s="169">
        <v>7.5</v>
      </c>
      <c r="R146" s="147"/>
      <c r="S146" s="147"/>
      <c r="T146" s="169">
        <v>7</v>
      </c>
      <c r="U146" s="169">
        <v>22.4</v>
      </c>
      <c r="V146" s="148"/>
      <c r="W146" s="148"/>
      <c r="X146" s="148"/>
      <c r="Y146" s="169">
        <v>5.5</v>
      </c>
      <c r="Z146" s="147"/>
      <c r="AA146" s="147"/>
      <c r="AB146" s="147"/>
      <c r="AC146" s="147"/>
      <c r="AD146" s="147"/>
      <c r="AE146" s="260">
        <f t="shared" ref="AE146" si="1172">AE145</f>
        <v>7.14</v>
      </c>
      <c r="AF146" s="375">
        <f t="shared" ref="AF146:AH152" si="1173" xml:space="preserve"> AF145</f>
        <v>0</v>
      </c>
      <c r="AG146" s="377"/>
      <c r="AH146" s="375">
        <f t="shared" si="1173"/>
        <v>0</v>
      </c>
      <c r="AI146" s="377"/>
      <c r="AJ146" s="295" t="str">
        <f t="shared" ref="AJ146" si="1174" xml:space="preserve"> AJ145</f>
        <v>Los</v>
      </c>
      <c r="AK146" s="47">
        <f>VLOOKUP(AJ146,Skrogform!$1:$1048576,3,FALSE)</f>
        <v>0.97</v>
      </c>
      <c r="AL146" s="66">
        <f t="shared" ref="AL146:AT146" si="1175">AL145</f>
        <v>7.4</v>
      </c>
      <c r="AM146" s="66">
        <f t="shared" si="1175"/>
        <v>6.4</v>
      </c>
      <c r="AN146" s="66">
        <f t="shared" si="1175"/>
        <v>2.2000000000000002</v>
      </c>
      <c r="AO146" s="66">
        <f t="shared" si="1175"/>
        <v>0.95</v>
      </c>
      <c r="AP146" s="66">
        <f t="shared" si="1175"/>
        <v>2.8</v>
      </c>
      <c r="AQ146" s="66">
        <f t="shared" si="1175"/>
        <v>1</v>
      </c>
      <c r="AR146" s="66">
        <f t="shared" si="1175"/>
        <v>0.3</v>
      </c>
      <c r="AS146" s="284">
        <f t="shared" si="1175"/>
        <v>0</v>
      </c>
      <c r="AT146" s="284">
        <f t="shared" si="1175"/>
        <v>0</v>
      </c>
      <c r="AU146" s="284">
        <f t="shared" ref="AU146:AV146" si="1176">AU145</f>
        <v>0</v>
      </c>
      <c r="AV146" s="284">
        <f t="shared" si="1176"/>
        <v>0</v>
      </c>
      <c r="AW146" s="284"/>
      <c r="AX146" s="284">
        <f t="shared" ref="AX146:AX152" si="1177">AX145</f>
        <v>0</v>
      </c>
      <c r="AY146" s="68"/>
      <c r="AZ146" s="68"/>
      <c r="BA146" s="289"/>
      <c r="BB146" s="68"/>
      <c r="BC146" s="179"/>
      <c r="BD146" s="68"/>
      <c r="BE146" s="68"/>
      <c r="BF146" s="67">
        <f t="shared" ref="BF146:BH146" si="1178" xml:space="preserve"> BF145</f>
        <v>0</v>
      </c>
      <c r="BG146" s="295">
        <f t="shared" si="1178"/>
        <v>0</v>
      </c>
      <c r="BH146" s="295">
        <f t="shared" si="1178"/>
        <v>0</v>
      </c>
      <c r="BI146" s="47">
        <f t="shared" si="1095"/>
        <v>1</v>
      </c>
      <c r="BJ146" s="61"/>
      <c r="BK146" s="61"/>
      <c r="BM146" s="51">
        <f t="shared" ref="BM146:BR152" si="1179">IF(O146=0,0,O146*BM$9)</f>
        <v>0</v>
      </c>
      <c r="BN146" s="51">
        <f t="shared" si="1179"/>
        <v>0</v>
      </c>
      <c r="BO146" s="51">
        <f t="shared" si="1179"/>
        <v>7.5</v>
      </c>
      <c r="BP146" s="51">
        <f t="shared" si="1179"/>
        <v>0</v>
      </c>
      <c r="BQ146" s="51">
        <f t="shared" si="1179"/>
        <v>0</v>
      </c>
      <c r="BR146" s="51">
        <f t="shared" si="1179"/>
        <v>7</v>
      </c>
      <c r="BS146" s="52">
        <f t="shared" ref="BS146:BS152" si="1180">IF(COUNT(P146:T146)&gt;1,MINA(P146:T146)*BS$9,0)</f>
        <v>-2.1</v>
      </c>
      <c r="BT146" s="88">
        <f t="shared" ref="BT146:CC152" si="1181">IF(U146=0,0,U146*BT$9)</f>
        <v>17.919999999999998</v>
      </c>
      <c r="BU146" s="88">
        <f t="shared" si="1181"/>
        <v>0</v>
      </c>
      <c r="BV146" s="88">
        <f t="shared" si="1181"/>
        <v>0</v>
      </c>
      <c r="BW146" s="88">
        <f t="shared" si="1181"/>
        <v>0</v>
      </c>
      <c r="BX146" s="88">
        <f t="shared" si="1181"/>
        <v>2.75</v>
      </c>
      <c r="BY146" s="88">
        <f t="shared" si="1181"/>
        <v>0</v>
      </c>
      <c r="BZ146" s="88">
        <f t="shared" si="1181"/>
        <v>0</v>
      </c>
      <c r="CA146" s="88">
        <f t="shared" si="1181"/>
        <v>0</v>
      </c>
      <c r="CB146" s="88">
        <f t="shared" si="1181"/>
        <v>0</v>
      </c>
      <c r="CC146" s="88">
        <f t="shared" si="1181"/>
        <v>0</v>
      </c>
      <c r="CD146" s="103">
        <f t="shared" ref="CD146:CD152" si="1182">SUM(BM146:CC146)</f>
        <v>33.07</v>
      </c>
      <c r="CE146" s="52"/>
      <c r="CF146" s="107">
        <f t="shared" ref="CF146:CF152" si="1183">J146</f>
        <v>42.4</v>
      </c>
      <c r="CG146" s="104">
        <f t="shared" ref="CG146:CG152" si="1184">CD146/CF146</f>
        <v>0.77995283018867922</v>
      </c>
      <c r="CH146" s="53">
        <f t="shared" ref="CH146:CH152" si="1185">Seilareal/Lwl/Lwl</f>
        <v>1.0351562499999998</v>
      </c>
      <c r="CI146" s="119">
        <f t="shared" ref="CI146:CI152" si="1186">Seilareal/Depl^0.667/K$7</f>
        <v>1.9508092700392057</v>
      </c>
      <c r="CJ146" s="53">
        <f t="shared" ref="CJ146:CJ152" si="1187">Seilareal/Lwl/Lwl/SApRS1</f>
        <v>1.5706625269654837</v>
      </c>
      <c r="CK146" s="209"/>
      <c r="CL146" s="209">
        <f t="shared" ref="CL146:CL152" si="1188">(ROUND(TBF/CL$6,3)*CL$6)*CL$4</f>
        <v>95.5</v>
      </c>
      <c r="CM146" s="110">
        <f t="shared" ref="CM146:CM214" si="1189">IF(SeilBeregnet=0,"-",CM$7*(SaDeplf+LBf)*Lf*Skrogfaktor*PropF*(Mast+1)+ErfaringsF)</f>
        <v>0.95516640193792868</v>
      </c>
      <c r="CN146" s="64">
        <f>IF(SeilBeregnet=0,"-",(SeilBeregnet)^(1/2)*StHfaktor/(Depl+DeplTillegg/1000+Vann/1000+Diesel/1000*0.84)^(1/3))</f>
        <v>4.0421875391690776</v>
      </c>
      <c r="CO146" s="64">
        <f t="shared" si="1140"/>
        <v>1.7709781580707415</v>
      </c>
      <c r="CP146" s="64">
        <f t="shared" si="1141"/>
        <v>1.5905414575341013</v>
      </c>
      <c r="CQ146" s="110">
        <f t="shared" si="1142"/>
        <v>1.013770804188977</v>
      </c>
      <c r="CR146" s="172">
        <f t="shared" si="965"/>
        <v>0.94211764705882362</v>
      </c>
      <c r="CS146" s="163">
        <f>CS145</f>
        <v>0.91</v>
      </c>
      <c r="CT146" s="172">
        <f t="shared" si="966"/>
        <v>0.90315789473684216</v>
      </c>
      <c r="CU146" s="163">
        <f>CU145</f>
        <v>1.17</v>
      </c>
      <c r="CV146" s="195" t="s">
        <v>145</v>
      </c>
      <c r="CW146" s="64">
        <v>0.83</v>
      </c>
      <c r="CX146" s="64">
        <v>0.83</v>
      </c>
      <c r="CY146" s="64">
        <v>0.91</v>
      </c>
      <c r="CZ146" s="154">
        <v>0.94</v>
      </c>
      <c r="DA146" s="64">
        <f t="shared" si="1096"/>
        <v>1.8381378657961083</v>
      </c>
      <c r="DB146" s="49">
        <f t="shared" si="1097"/>
        <v>9.8958333333333321</v>
      </c>
      <c r="DC146" s="50">
        <f t="shared" si="1098"/>
        <v>0</v>
      </c>
      <c r="DE146" s="110">
        <f>IF(SeilBeregnet=0,"-",DE$7*(DG:DG+DE$6)*DL:DL*PropF+ErfaringsF+Dyp_F)</f>
        <v>0.95008512018065161</v>
      </c>
      <c r="DF146" s="145">
        <f t="shared" si="1161"/>
        <v>-3.4622510683192442</v>
      </c>
      <c r="DG146" s="110">
        <f t="shared" si="1099"/>
        <v>5.9142019364330718</v>
      </c>
      <c r="DH146" s="136">
        <f t="shared" ref="DH146:DH152" si="1190">IF(SeilBeregnet=0,DH145,(SeilBeregnet^0.5/(Depl^0.3333))^DH$3*DH$7)</f>
        <v>4.0801800271756159</v>
      </c>
      <c r="DI146" s="136">
        <f t="shared" ref="DI146:DI152" si="1191">IF(SeilBeregnet=0,DI145,(SeilBeregnet^0.5/Lwl)^DI$3*DI$7)</f>
        <v>0</v>
      </c>
      <c r="DJ146" s="136">
        <f t="shared" ref="DJ146:DJ152" si="1192">IF(SeilBeregnet=0,DJ145,(0.1*Loa/Depl^0.3333)^DJ$3*DJ$7)</f>
        <v>0</v>
      </c>
      <c r="DK146" s="136">
        <f t="shared" ref="DK146:DK152" si="1193">IF(SeilBeregnet=0,DK145,((Loa)/Bredde)^DK$3*DK$7)</f>
        <v>1.8340219092574557</v>
      </c>
      <c r="DL146" s="110">
        <f t="shared" ref="DL146:DL152" si="1194">IF(SeilBeregnet=0,DL145,(Lwl)^DL$3)</f>
        <v>1.5905414575341013</v>
      </c>
      <c r="DM146" s="136">
        <f t="shared" ref="DM146:DM152" si="1195">IF(SeilBeregnet=0,DM145,(Dypg/Loa)^DM$3*5*DM$7)</f>
        <v>1.7914964302111964</v>
      </c>
      <c r="DO146" s="110">
        <f t="shared" si="733"/>
        <v>0.98470763086384405</v>
      </c>
      <c r="DP146" s="110">
        <f t="shared" si="1100"/>
        <v>0.9318196802881652</v>
      </c>
      <c r="DQ146" s="125">
        <f>DP146-DO146</f>
        <v>-5.2887950575678855E-2</v>
      </c>
      <c r="DR146" s="110">
        <f t="shared" si="1101"/>
        <v>0.93131193801951395</v>
      </c>
      <c r="DS146" s="125">
        <f t="shared" si="1162"/>
        <v>-5.33956928443301E-2</v>
      </c>
      <c r="DT146" s="110">
        <f t="shared" si="1102"/>
        <v>0.97682079194704707</v>
      </c>
      <c r="DU146" s="125">
        <f t="shared" si="1163"/>
        <v>-7.8868389167969788E-3</v>
      </c>
      <c r="DV146" s="110">
        <f t="shared" si="214"/>
        <v>4.0800539981446082</v>
      </c>
      <c r="DW146" s="110">
        <f t="shared" si="215"/>
        <v>1.8565206547056485</v>
      </c>
      <c r="DX146" s="110">
        <f t="shared" ref="DX146:DX162" si="1196">IF(SeilBeregnet=0,DX145,((Loa+Lwl)/Bredde)^DX$3)</f>
        <v>1.5825742730785703</v>
      </c>
      <c r="DZ146" s="110">
        <f t="shared" si="1103"/>
        <v>0.9723127326787413</v>
      </c>
      <c r="EB146" s="110">
        <f t="shared" si="217"/>
        <v>4.0800539981446082</v>
      </c>
      <c r="EC146" s="110">
        <f t="shared" ref="EC146:EC162" si="1197">IF(SeilBeregnet=0,EC145,Lwl^EC$3)</f>
        <v>1.856624045251289</v>
      </c>
      <c r="ED146" s="110">
        <f t="shared" ref="ED146:ED162" si="1198">IF(SeilBeregnet=0,ED145,((Loa+Lwl)/Bredde)^ED$3)</f>
        <v>1.8441329174043459</v>
      </c>
      <c r="EE146" s="110">
        <f t="shared" si="1104"/>
        <v>0.96839815648093097</v>
      </c>
      <c r="EG146" s="110">
        <f t="shared" ref="EG146:EG162" si="1199">IF(SeilBeregnet=0,EG145,(EH146*EI146)^EG$3)</f>
        <v>6.4569884902350179</v>
      </c>
      <c r="EH146" s="110">
        <f t="shared" si="219"/>
        <v>4.0800539981446082</v>
      </c>
      <c r="EI146" s="110">
        <f t="shared" ref="EI146:EI162" si="1200">IF(SeilBeregnet=0,EI145,((Loa+Lwl)/Bredde)^EI$3)</f>
        <v>1.5825742730785703</v>
      </c>
      <c r="EJ146" s="110">
        <f t="shared" ref="EJ146:EJ162" si="1201">IF(SeilBeregnet=0,EJ145,Lwl^EJ$3)</f>
        <v>1.5905414575341013</v>
      </c>
      <c r="EK146" s="110">
        <f>IF(SeilBeregnet=0,"-",EK$7*(EK$4*EM:EM+EK$6)*EP:EP*PropF+ErfaringsF+Dyp_F)</f>
        <v>0.95646321752892283</v>
      </c>
      <c r="EM146" s="110">
        <f>IF(SeilBeregnet=0,EM145,(EN:EN*EO:EO)^EM$3)</f>
        <v>2.0311691879391076</v>
      </c>
      <c r="EN146" s="110">
        <f t="shared" si="220"/>
        <v>4.0800539981446082</v>
      </c>
      <c r="EO146" s="110">
        <f t="shared" ref="EO146:EO162" si="1202">IF(SeilBeregnet=0,EO145,((Loa+Lwl)/Bredde/6)^EO$3)</f>
        <v>1.0111749187411099</v>
      </c>
      <c r="EP146" s="110">
        <f t="shared" ref="EP146:EP162" si="1203">IF(SeilBeregnet=0,EP145,(Lwl*0.7+Loa*0.3)^EP$3)</f>
        <v>1.6088616538127065</v>
      </c>
      <c r="EQ146" s="110">
        <f>IF(SeilBeregnet=0,"-",EQ$7*(ES:ES+EQ$6)*EV:EV*PropF+ErfaringsF+Dyp_F)</f>
        <v>0.89423048369830771</v>
      </c>
      <c r="ES146" s="110">
        <f>(ET:ET*EU:EU)^ES$3</f>
        <v>2.0312005581498846</v>
      </c>
      <c r="ET146" s="110">
        <f t="shared" si="221"/>
        <v>4.0801800271756159</v>
      </c>
      <c r="EU146" s="110">
        <f t="shared" ref="EU146:EU162" si="1204">IF(SeilBeregnet=0,EU145,((Loa+Lwl)/Bredde/6)^EU$3)</f>
        <v>1.0111749187411099</v>
      </c>
      <c r="EV146" s="110">
        <f t="shared" ref="EV146:EV162" si="1205">IF(SeilBeregnet=0,EV145,(Lwl*0.7+Loa*0.3)^EV$3)</f>
        <v>1.6088616538127065</v>
      </c>
      <c r="EW146" s="110">
        <f>IF(SeilBeregnet=0,"-",EW$7*(EY:EY+EW$6)*FB:FB*PropF+ErfaringsF+Dyp_F)</f>
        <v>0.95484383627846681</v>
      </c>
      <c r="EX146" s="144">
        <f t="shared" si="237"/>
        <v>-2.9863794585377246</v>
      </c>
      <c r="EY146" s="110">
        <f>(EZ:EZ*FA:FA)^EY$3</f>
        <v>4.1718809157029604</v>
      </c>
      <c r="EZ146" s="136">
        <f t="shared" ref="EZ146:EZ162" si="1206">IF(SeilBeregnet=0,EZ145,(SeilBeregnet^0.5/(Depl^0.3333))^EZ$3)</f>
        <v>4.0801800271756159</v>
      </c>
      <c r="FA146" s="136">
        <f t="shared" ref="FA146:FA162" si="1207">IF(SeilBeregnet=0,FA145,((Loa+Lwl)/Bredde/6)^FA$3)</f>
        <v>1.0224747162910901</v>
      </c>
      <c r="FB146" s="110">
        <f t="shared" ref="FB146:FB162" si="1208">IF(SeilBeregnet=0,FB145,(Lwl*0.07+Loa*0.03)^FB$3)</f>
        <v>0.90472939445297396</v>
      </c>
      <c r="FC146" s="110">
        <f>IF(SeilBeregnet=0,"-",FC$7*(FE:FE+FC$6)*FI:FI*PropF+ErfaringsF+Dyp_F)</f>
        <v>0.96390497285309851</v>
      </c>
      <c r="FD146" s="144">
        <f t="shared" si="238"/>
        <v>-2.0802658010745545</v>
      </c>
      <c r="FE146" s="110">
        <f>(FF:FF+FG:FG+FH:FH)^FE$3+FE$7</f>
        <v>6.312741332828689</v>
      </c>
      <c r="FF146" s="136">
        <f t="shared" ref="FF146:FF162" si="1209">IF(SeilBeregnet=0,FF145,(SeilBeregnet^0.5/(Depl^0.3333))^FF$3)</f>
        <v>4.0801800271756159</v>
      </c>
      <c r="FG146" s="136">
        <f t="shared" ref="FG146:FG162" si="1210">IF(SeilBeregnet=0,FG145,(SeilBeregnet^0.5/Lwl*FG$7)^FG$3)</f>
        <v>0.89853939639561708</v>
      </c>
      <c r="FH146" s="136">
        <f t="shared" ref="FH146:FH162" si="1211">IF(SeilBeregnet=0,FH145,((Loa)/Bredde)^FH$3*FH$7)</f>
        <v>1.8340219092574557</v>
      </c>
      <c r="FI146" s="110">
        <f t="shared" ref="FI146:FI162" si="1212">IF(SeilBeregnet=0,FI145,(Lwl)^FI$3)</f>
        <v>1.5905414575341013</v>
      </c>
      <c r="FJ146" s="110">
        <f>IF(SeilBeregnet=0,"-",FJ$7*(FL:FL+FJ$6)*FO:FO*PropF+ErfaringsF+Dyp_F)</f>
        <v>0.94974929600116254</v>
      </c>
      <c r="FK146" s="144">
        <f t="shared" si="239"/>
        <v>-3.4958334862681517</v>
      </c>
      <c r="FL146" s="110">
        <f>(FM:FM*FN:FN)^FL$3</f>
        <v>7.4831395635547606</v>
      </c>
      <c r="FM146" s="136">
        <f t="shared" ref="FM146:FM162" si="1213">IF(SeilBeregnet=0,FM145,(SeilBeregnet^0.5/(Depl^0.3333))^FM$3)</f>
        <v>4.0801800271756159</v>
      </c>
      <c r="FN146" s="136">
        <f t="shared" ref="FN146:FN162" si="1214">IF(SeilBeregnet=0,FN145,(Loa/Bredde)^FN$3)</f>
        <v>1.8340219092574557</v>
      </c>
      <c r="FO146" s="110">
        <f t="shared" ref="FO146:FO162" si="1215">IF(SeilBeregnet=0,FO145,Lwl^FO$3)</f>
        <v>1.5905414575341013</v>
      </c>
      <c r="FQ146">
        <v>0.95</v>
      </c>
      <c r="FR146" s="64">
        <f t="shared" si="1164"/>
        <v>1.0889980411652449</v>
      </c>
      <c r="FS146" s="479"/>
      <c r="FT146" s="18"/>
      <c r="FU146" s="481"/>
      <c r="FV146" s="504"/>
      <c r="FW146" s="18"/>
      <c r="FX146" s="18"/>
      <c r="FY146" s="18"/>
      <c r="FZ146" s="18"/>
      <c r="GB146" s="18"/>
      <c r="GC146" s="481"/>
      <c r="GD146" s="8"/>
      <c r="GE146" s="8"/>
      <c r="GF146" s="8"/>
      <c r="GG146" s="8"/>
      <c r="GI146" s="18"/>
      <c r="GJ146" s="18"/>
      <c r="GK146" s="18"/>
      <c r="GL146" s="18"/>
      <c r="GM146" s="18"/>
      <c r="GN146" s="18"/>
      <c r="GO146" s="18"/>
      <c r="GP146" s="18"/>
    </row>
    <row r="147" spans="1:198" ht="15.6" x14ac:dyDescent="0.3">
      <c r="A147" s="62" t="s">
        <v>32</v>
      </c>
      <c r="B147" s="223"/>
      <c r="C147" s="14" t="str">
        <f>C145</f>
        <v>Gaffel</v>
      </c>
      <c r="G147" s="56"/>
      <c r="H147" s="209">
        <f t="shared" si="1165"/>
        <v>92.5</v>
      </c>
      <c r="I147" s="65">
        <f t="shared" si="1166"/>
        <v>3</v>
      </c>
      <c r="J147" s="228">
        <f t="shared" si="1167"/>
        <v>36.9</v>
      </c>
      <c r="K147" s="119">
        <f t="shared" si="1168"/>
        <v>1.6977561807652519</v>
      </c>
      <c r="L147" s="119">
        <f t="shared" si="1169"/>
        <v>1.3669209255902439</v>
      </c>
      <c r="M147" s="95">
        <f t="shared" si="1170"/>
        <v>0.82168021680216807</v>
      </c>
      <c r="N147" s="265">
        <f t="shared" si="1171"/>
        <v>1.013770804188977</v>
      </c>
      <c r="O147" s="147"/>
      <c r="P147" s="147"/>
      <c r="Q147" s="169">
        <v>7.5</v>
      </c>
      <c r="R147" s="147"/>
      <c r="S147" s="147"/>
      <c r="T147" s="169">
        <v>7</v>
      </c>
      <c r="U147" s="169">
        <v>22.4</v>
      </c>
      <c r="V147" s="148"/>
      <c r="W147" s="148"/>
      <c r="X147" s="148"/>
      <c r="Y147" s="147"/>
      <c r="Z147" s="147"/>
      <c r="AA147" s="147"/>
      <c r="AB147" s="147"/>
      <c r="AC147" s="147"/>
      <c r="AD147" s="147"/>
      <c r="AE147" s="260">
        <f t="shared" ref="AE147" si="1216">AE146</f>
        <v>7.14</v>
      </c>
      <c r="AF147" s="375">
        <f t="shared" si="1173"/>
        <v>0</v>
      </c>
      <c r="AG147" s="377"/>
      <c r="AH147" s="375">
        <f t="shared" si="1173"/>
        <v>0</v>
      </c>
      <c r="AI147" s="377"/>
      <c r="AJ147" s="295" t="str">
        <f t="shared" ref="AJ147" si="1217" xml:space="preserve"> AJ146</f>
        <v>Los</v>
      </c>
      <c r="AK147" s="47">
        <f>VLOOKUP(AJ147,Skrogform!$1:$1048576,3,FALSE)</f>
        <v>0.97</v>
      </c>
      <c r="AL147" s="66">
        <f t="shared" ref="AL147:AT147" si="1218">AL146</f>
        <v>7.4</v>
      </c>
      <c r="AM147" s="66">
        <f t="shared" si="1218"/>
        <v>6.4</v>
      </c>
      <c r="AN147" s="66">
        <f t="shared" si="1218"/>
        <v>2.2000000000000002</v>
      </c>
      <c r="AO147" s="66">
        <f t="shared" si="1218"/>
        <v>0.95</v>
      </c>
      <c r="AP147" s="66">
        <f t="shared" si="1218"/>
        <v>2.8</v>
      </c>
      <c r="AQ147" s="66">
        <f t="shared" si="1218"/>
        <v>1</v>
      </c>
      <c r="AR147" s="66">
        <f t="shared" si="1218"/>
        <v>0.3</v>
      </c>
      <c r="AS147" s="284">
        <f t="shared" si="1218"/>
        <v>0</v>
      </c>
      <c r="AT147" s="284">
        <f t="shared" si="1218"/>
        <v>0</v>
      </c>
      <c r="AU147" s="284">
        <f t="shared" ref="AU147:AV147" si="1219">AU146</f>
        <v>0</v>
      </c>
      <c r="AV147" s="284">
        <f t="shared" si="1219"/>
        <v>0</v>
      </c>
      <c r="AW147" s="284"/>
      <c r="AX147" s="284">
        <f t="shared" si="1177"/>
        <v>0</v>
      </c>
      <c r="AY147" s="68"/>
      <c r="AZ147" s="68"/>
      <c r="BA147" s="289"/>
      <c r="BB147" s="68"/>
      <c r="BC147" s="179"/>
      <c r="BD147" s="68"/>
      <c r="BE147" s="68"/>
      <c r="BF147" s="67">
        <f t="shared" ref="BF147:BH147" si="1220" xml:space="preserve"> BF146</f>
        <v>0</v>
      </c>
      <c r="BG147" s="295">
        <f t="shared" si="1220"/>
        <v>0</v>
      </c>
      <c r="BH147" s="295">
        <f t="shared" si="1220"/>
        <v>0</v>
      </c>
      <c r="BI147" s="47">
        <f t="shared" si="1095"/>
        <v>1</v>
      </c>
      <c r="BJ147" s="61"/>
      <c r="BK147" s="61"/>
      <c r="BM147" s="51">
        <f t="shared" si="1179"/>
        <v>0</v>
      </c>
      <c r="BN147" s="51">
        <f t="shared" si="1179"/>
        <v>0</v>
      </c>
      <c r="BO147" s="51">
        <f t="shared" si="1179"/>
        <v>7.5</v>
      </c>
      <c r="BP147" s="51">
        <f t="shared" si="1179"/>
        <v>0</v>
      </c>
      <c r="BQ147" s="51">
        <f t="shared" si="1179"/>
        <v>0</v>
      </c>
      <c r="BR147" s="51">
        <f t="shared" si="1179"/>
        <v>7</v>
      </c>
      <c r="BS147" s="52">
        <f t="shared" si="1180"/>
        <v>-2.1</v>
      </c>
      <c r="BT147" s="88">
        <f t="shared" si="1181"/>
        <v>17.919999999999998</v>
      </c>
      <c r="BU147" s="88">
        <f t="shared" si="1181"/>
        <v>0</v>
      </c>
      <c r="BV147" s="88">
        <f t="shared" si="1181"/>
        <v>0</v>
      </c>
      <c r="BW147" s="88">
        <f t="shared" si="1181"/>
        <v>0</v>
      </c>
      <c r="BX147" s="88">
        <f t="shared" si="1181"/>
        <v>0</v>
      </c>
      <c r="BY147" s="88">
        <f t="shared" si="1181"/>
        <v>0</v>
      </c>
      <c r="BZ147" s="88">
        <f t="shared" si="1181"/>
        <v>0</v>
      </c>
      <c r="CA147" s="88">
        <f t="shared" si="1181"/>
        <v>0</v>
      </c>
      <c r="CB147" s="88">
        <f t="shared" si="1181"/>
        <v>0</v>
      </c>
      <c r="CC147" s="88">
        <f t="shared" si="1181"/>
        <v>0</v>
      </c>
      <c r="CD147" s="103">
        <f t="shared" si="1182"/>
        <v>30.32</v>
      </c>
      <c r="CE147" s="52"/>
      <c r="CF147" s="107">
        <f t="shared" si="1183"/>
        <v>36.9</v>
      </c>
      <c r="CG147" s="104">
        <f t="shared" si="1184"/>
        <v>0.82168021680216807</v>
      </c>
      <c r="CH147" s="53">
        <f t="shared" si="1185"/>
        <v>0.90087890624999978</v>
      </c>
      <c r="CI147" s="119">
        <f t="shared" si="1186"/>
        <v>1.6977561807652519</v>
      </c>
      <c r="CJ147" s="53">
        <f t="shared" si="1187"/>
        <v>1.3669209255902439</v>
      </c>
      <c r="CK147" s="209"/>
      <c r="CL147" s="209">
        <f t="shared" si="1188"/>
        <v>92.5</v>
      </c>
      <c r="CM147" s="110">
        <f t="shared" si="1189"/>
        <v>0.92695171355321648</v>
      </c>
      <c r="CN147" s="64">
        <f>IF(SeilBeregnet=0,"-",(SeilBeregnet)^(1/2)*StHfaktor/(Depl+DeplTillegg/1000+Vann/1000+Diesel/1000*0.84)^(1/3))</f>
        <v>3.8704722669991725</v>
      </c>
      <c r="CO147" s="64">
        <f t="shared" si="1140"/>
        <v>1.7709781580707415</v>
      </c>
      <c r="CP147" s="64">
        <f t="shared" si="1141"/>
        <v>1.5905414575341013</v>
      </c>
      <c r="CQ147" s="110">
        <f t="shared" si="1142"/>
        <v>1.013770804188977</v>
      </c>
      <c r="CR147" s="172" t="str">
        <f t="shared" si="965"/>
        <v>-</v>
      </c>
      <c r="CS147" s="162"/>
      <c r="CT147" s="172" t="str">
        <f t="shared" si="966"/>
        <v>-</v>
      </c>
      <c r="CU147" s="164"/>
      <c r="CV147" s="195" t="s">
        <v>145</v>
      </c>
      <c r="CW147" s="64">
        <v>0.8</v>
      </c>
      <c r="CX147" s="64">
        <v>0.82</v>
      </c>
      <c r="CY147" s="64">
        <v>0.88</v>
      </c>
      <c r="CZ147" s="154">
        <v>0.91</v>
      </c>
      <c r="DA147" s="64">
        <f t="shared" si="1096"/>
        <v>1.8381378657961083</v>
      </c>
      <c r="DB147" s="49">
        <f t="shared" si="1097"/>
        <v>9.8958333333333321</v>
      </c>
      <c r="DC147" s="50">
        <f t="shared" si="1098"/>
        <v>0</v>
      </c>
      <c r="DE147" s="110">
        <f>IF(SeilBeregnet=0,"-",DE$7*(DG:DG+DE$6)*DL:DL*PropF+ErfaringsF+Dyp_F)</f>
        <v>0.922240701427541</v>
      </c>
      <c r="DF147" s="144" t="str">
        <f t="shared" si="1161"/>
        <v>-</v>
      </c>
      <c r="DG147" s="110">
        <f t="shared" si="1099"/>
        <v>5.7408727138080637</v>
      </c>
      <c r="DH147" s="136">
        <f t="shared" si="1190"/>
        <v>3.9068508045506083</v>
      </c>
      <c r="DI147" s="136">
        <f t="shared" si="1191"/>
        <v>0</v>
      </c>
      <c r="DJ147" s="136">
        <f t="shared" si="1192"/>
        <v>0</v>
      </c>
      <c r="DK147" s="136">
        <f t="shared" si="1193"/>
        <v>1.8340219092574557</v>
      </c>
      <c r="DL147" s="110">
        <f t="shared" si="1194"/>
        <v>1.5905414575341013</v>
      </c>
      <c r="DM147" s="136">
        <f t="shared" si="1195"/>
        <v>1.7914964302111964</v>
      </c>
      <c r="DO147" s="110">
        <f t="shared" si="733"/>
        <v>0.95562032325073876</v>
      </c>
      <c r="DP147" s="110">
        <f t="shared" si="1100"/>
        <v>0.90061720861269412</v>
      </c>
      <c r="DR147" s="110">
        <f t="shared" si="1101"/>
        <v>0.9060195289300651</v>
      </c>
      <c r="DS147" s="125" t="str">
        <f t="shared" si="1162"/>
        <v>-</v>
      </c>
      <c r="DT147" s="110">
        <f t="shared" si="1102"/>
        <v>0.94490836862023653</v>
      </c>
      <c r="DU147" s="125" t="str">
        <f t="shared" si="1163"/>
        <v>-</v>
      </c>
      <c r="DV147" s="110">
        <f t="shared" si="214"/>
        <v>3.9067301293309091</v>
      </c>
      <c r="DW147" s="110">
        <f t="shared" si="215"/>
        <v>1.8565206547056485</v>
      </c>
      <c r="DX147" s="110">
        <f t="shared" si="1196"/>
        <v>1.5825742730785703</v>
      </c>
      <c r="DZ147" s="110">
        <f t="shared" si="1103"/>
        <v>0.94341841256114634</v>
      </c>
      <c r="EB147" s="110">
        <f t="shared" si="217"/>
        <v>3.9067301293309091</v>
      </c>
      <c r="EC147" s="110">
        <f t="shared" si="1197"/>
        <v>1.856624045251289</v>
      </c>
      <c r="ED147" s="110">
        <f t="shared" si="1198"/>
        <v>1.8441329174043459</v>
      </c>
      <c r="EE147" s="110">
        <f t="shared" si="1104"/>
        <v>0.9369886805398967</v>
      </c>
      <c r="EG147" s="110">
        <f t="shared" si="1199"/>
        <v>6.1826905945400128</v>
      </c>
      <c r="EH147" s="110">
        <f t="shared" si="219"/>
        <v>3.9067301293309091</v>
      </c>
      <c r="EI147" s="110">
        <f t="shared" si="1200"/>
        <v>1.5825742730785703</v>
      </c>
      <c r="EJ147" s="110">
        <f t="shared" si="1201"/>
        <v>1.5905414575341013</v>
      </c>
      <c r="EK147" s="110">
        <f>IF(SeilBeregnet=0,"-",EK$7*(EK$4*EM:EM+EK$6)*EP:EP*PropF+ErfaringsF+Dyp_F)</f>
        <v>0.92922107813896349</v>
      </c>
      <c r="EM147" s="110">
        <f>IF(SeilBeregnet=0,EM146,(EN:EN*EO:EO)^EM$3)</f>
        <v>1.9875581805495979</v>
      </c>
      <c r="EN147" s="110">
        <f t="shared" si="220"/>
        <v>3.9067301293309091</v>
      </c>
      <c r="EO147" s="110">
        <f t="shared" si="1202"/>
        <v>1.0111749187411099</v>
      </c>
      <c r="EP147" s="110">
        <f t="shared" si="1203"/>
        <v>1.6088616538127065</v>
      </c>
      <c r="EQ147" s="110">
        <f>IF(SeilBeregnet=0,"-",EQ$7*(ES:ES+EQ$6)*EV:EV*PropF+ErfaringsF+Dyp_F)</f>
        <v>0.87503056058798268</v>
      </c>
      <c r="ES147" s="110">
        <f>(ET:ET*EU:EU)^ES$3</f>
        <v>1.9875888772140733</v>
      </c>
      <c r="ET147" s="110">
        <f t="shared" si="221"/>
        <v>3.9068508045506083</v>
      </c>
      <c r="EU147" s="110">
        <f t="shared" si="1204"/>
        <v>1.0111749187411099</v>
      </c>
      <c r="EV147" s="110">
        <f t="shared" si="1205"/>
        <v>1.6088616538127065</v>
      </c>
      <c r="EW147" s="110">
        <f>IF(SeilBeregnet=0,"-",EW$7*(EY:EY+EW$6)*FB:FB*PropF+ErfaringsF+Dyp_F)</f>
        <v>0.9274256212617159</v>
      </c>
      <c r="EX147" s="144" t="str">
        <f t="shared" si="237"/>
        <v>-</v>
      </c>
      <c r="EY147" s="110">
        <f>(EZ:EZ*FA:FA)^EY$3</f>
        <v>3.9946561679745005</v>
      </c>
      <c r="EZ147" s="136">
        <f t="shared" si="1206"/>
        <v>3.9068508045506083</v>
      </c>
      <c r="FA147" s="136">
        <f t="shared" si="1207"/>
        <v>1.0224747162910901</v>
      </c>
      <c r="FB147" s="110">
        <f t="shared" si="1208"/>
        <v>0.90472939445297396</v>
      </c>
      <c r="FC147" s="110">
        <f>IF(SeilBeregnet=0,"-",FC$7*(FE:FE+FC$6)*FI:FI*PropF+ErfaringsF+Dyp_F)</f>
        <v>0.93161063812480582</v>
      </c>
      <c r="FD147" s="144" t="str">
        <f t="shared" si="238"/>
        <v>-</v>
      </c>
      <c r="FE147" s="110">
        <f>(FF:FF+FG:FG+FH:FH)^FE$3+FE$7</f>
        <v>6.1012414574290768</v>
      </c>
      <c r="FF147" s="136">
        <f t="shared" si="1209"/>
        <v>3.9068508045506083</v>
      </c>
      <c r="FG147" s="136">
        <f t="shared" si="1210"/>
        <v>0.86036874362101279</v>
      </c>
      <c r="FH147" s="136">
        <f t="shared" si="1211"/>
        <v>1.8340219092574557</v>
      </c>
      <c r="FI147" s="110">
        <f t="shared" si="1212"/>
        <v>1.5905414575341013</v>
      </c>
      <c r="FJ147" s="110">
        <f>IF(SeilBeregnet=0,"-",FJ$7*(FL:FL+FJ$6)*FO:FO*PropF+ErfaringsF+Dyp_F)</f>
        <v>0.92345723411725467</v>
      </c>
      <c r="FK147" s="144" t="str">
        <f t="shared" si="239"/>
        <v>-</v>
      </c>
      <c r="FL147" s="110">
        <f>(FM:FM*FN:FN)^FL$3</f>
        <v>7.1652499717459337</v>
      </c>
      <c r="FM147" s="136">
        <f t="shared" si="1213"/>
        <v>3.9068508045506083</v>
      </c>
      <c r="FN147" s="136">
        <f t="shared" si="1214"/>
        <v>1.8340219092574557</v>
      </c>
      <c r="FO147" s="110">
        <f t="shared" si="1215"/>
        <v>1.5905414575341013</v>
      </c>
      <c r="FQ147">
        <v>0.95</v>
      </c>
      <c r="FR147" s="64">
        <f t="shared" si="1164"/>
        <v>1.0645029043263998</v>
      </c>
      <c r="FS147" s="479"/>
      <c r="FT147" s="18"/>
      <c r="FU147" s="481"/>
      <c r="FV147" s="504"/>
      <c r="FW147" s="18"/>
      <c r="FX147" s="18"/>
      <c r="FY147" s="18"/>
      <c r="FZ147" s="18"/>
      <c r="GB147" s="18"/>
      <c r="GC147" s="481"/>
      <c r="GD147" s="8"/>
      <c r="GE147" s="8"/>
      <c r="GF147" s="8"/>
      <c r="GG147" s="8"/>
      <c r="GI147" s="18"/>
      <c r="GJ147" s="18"/>
      <c r="GK147" s="18"/>
      <c r="GL147" s="18"/>
      <c r="GM147" s="18"/>
      <c r="GN147" s="18"/>
      <c r="GO147" s="18"/>
      <c r="GP147" s="18"/>
    </row>
    <row r="148" spans="1:198" ht="15.6" x14ac:dyDescent="0.3">
      <c r="A148" s="62" t="s">
        <v>33</v>
      </c>
      <c r="B148" s="223"/>
      <c r="C148" s="14" t="str">
        <f>C146</f>
        <v>Gaffel</v>
      </c>
      <c r="G148" s="56"/>
      <c r="H148" s="209">
        <f t="shared" si="1165"/>
        <v>90.5</v>
      </c>
      <c r="I148" s="65">
        <f t="shared" si="1166"/>
        <v>3</v>
      </c>
      <c r="J148" s="228">
        <f t="shared" si="1167"/>
        <v>33.9</v>
      </c>
      <c r="K148" s="119">
        <f t="shared" si="1168"/>
        <v>1.5597272229794592</v>
      </c>
      <c r="L148" s="119">
        <f t="shared" si="1169"/>
        <v>1.2557891430219315</v>
      </c>
      <c r="M148" s="95">
        <f t="shared" si="1170"/>
        <v>0.82802359882005905</v>
      </c>
      <c r="N148" s="265">
        <f t="shared" si="1171"/>
        <v>1.013770804188977</v>
      </c>
      <c r="O148" s="147"/>
      <c r="P148" s="147"/>
      <c r="Q148" s="147"/>
      <c r="R148" s="169">
        <v>4.5</v>
      </c>
      <c r="S148" s="147"/>
      <c r="T148" s="169">
        <v>7</v>
      </c>
      <c r="U148" s="169">
        <v>22.4</v>
      </c>
      <c r="V148" s="148"/>
      <c r="W148" s="148"/>
      <c r="X148" s="148"/>
      <c r="Y148" s="147"/>
      <c r="Z148" s="147"/>
      <c r="AA148" s="147"/>
      <c r="AB148" s="147"/>
      <c r="AC148" s="147"/>
      <c r="AD148" s="147"/>
      <c r="AE148" s="260">
        <f t="shared" ref="AE148" si="1221">AE147</f>
        <v>7.14</v>
      </c>
      <c r="AF148" s="375">
        <f t="shared" si="1173"/>
        <v>0</v>
      </c>
      <c r="AG148" s="377"/>
      <c r="AH148" s="375">
        <f t="shared" si="1173"/>
        <v>0</v>
      </c>
      <c r="AI148" s="377"/>
      <c r="AJ148" s="295" t="str">
        <f t="shared" ref="AJ148" si="1222" xml:space="preserve"> AJ147</f>
        <v>Los</v>
      </c>
      <c r="AK148" s="47">
        <f>VLOOKUP(AJ148,Skrogform!$1:$1048576,3,FALSE)</f>
        <v>0.97</v>
      </c>
      <c r="AL148" s="66">
        <f t="shared" ref="AL148:AT148" si="1223">AL147</f>
        <v>7.4</v>
      </c>
      <c r="AM148" s="66">
        <f t="shared" si="1223"/>
        <v>6.4</v>
      </c>
      <c r="AN148" s="66">
        <f t="shared" si="1223"/>
        <v>2.2000000000000002</v>
      </c>
      <c r="AO148" s="66">
        <f t="shared" si="1223"/>
        <v>0.95</v>
      </c>
      <c r="AP148" s="66">
        <f t="shared" si="1223"/>
        <v>2.8</v>
      </c>
      <c r="AQ148" s="66">
        <f t="shared" si="1223"/>
        <v>1</v>
      </c>
      <c r="AR148" s="66">
        <f t="shared" si="1223"/>
        <v>0.3</v>
      </c>
      <c r="AS148" s="284">
        <f t="shared" si="1223"/>
        <v>0</v>
      </c>
      <c r="AT148" s="284">
        <f t="shared" si="1223"/>
        <v>0</v>
      </c>
      <c r="AU148" s="284">
        <f t="shared" ref="AU148:AV148" si="1224">AU147</f>
        <v>0</v>
      </c>
      <c r="AV148" s="284">
        <f t="shared" si="1224"/>
        <v>0</v>
      </c>
      <c r="AW148" s="284"/>
      <c r="AX148" s="284">
        <f t="shared" si="1177"/>
        <v>0</v>
      </c>
      <c r="AY148" s="68"/>
      <c r="AZ148" s="68"/>
      <c r="BA148" s="289"/>
      <c r="BB148" s="68"/>
      <c r="BC148" s="179"/>
      <c r="BD148" s="68"/>
      <c r="BE148" s="68"/>
      <c r="BF148" s="67">
        <f t="shared" ref="BF148:BH148" si="1225" xml:space="preserve"> BF147</f>
        <v>0</v>
      </c>
      <c r="BG148" s="295">
        <f t="shared" si="1225"/>
        <v>0</v>
      </c>
      <c r="BH148" s="295">
        <f t="shared" si="1225"/>
        <v>0</v>
      </c>
      <c r="BI148" s="47">
        <f t="shared" si="1095"/>
        <v>1</v>
      </c>
      <c r="BJ148" s="61"/>
      <c r="BK148" s="61"/>
      <c r="BM148" s="51">
        <f t="shared" si="1179"/>
        <v>0</v>
      </c>
      <c r="BN148" s="51">
        <f t="shared" si="1179"/>
        <v>0</v>
      </c>
      <c r="BO148" s="51">
        <f t="shared" si="1179"/>
        <v>0</v>
      </c>
      <c r="BP148" s="51">
        <f t="shared" si="1179"/>
        <v>4.5</v>
      </c>
      <c r="BQ148" s="51">
        <f t="shared" si="1179"/>
        <v>0</v>
      </c>
      <c r="BR148" s="51">
        <f t="shared" si="1179"/>
        <v>7</v>
      </c>
      <c r="BS148" s="52">
        <f t="shared" si="1180"/>
        <v>-1.3499999999999999</v>
      </c>
      <c r="BT148" s="88">
        <f t="shared" si="1181"/>
        <v>17.919999999999998</v>
      </c>
      <c r="BU148" s="88">
        <f t="shared" si="1181"/>
        <v>0</v>
      </c>
      <c r="BV148" s="88">
        <f t="shared" si="1181"/>
        <v>0</v>
      </c>
      <c r="BW148" s="88">
        <f t="shared" si="1181"/>
        <v>0</v>
      </c>
      <c r="BX148" s="88">
        <f t="shared" si="1181"/>
        <v>0</v>
      </c>
      <c r="BY148" s="88">
        <f t="shared" si="1181"/>
        <v>0</v>
      </c>
      <c r="BZ148" s="88">
        <f t="shared" si="1181"/>
        <v>0</v>
      </c>
      <c r="CA148" s="88">
        <f t="shared" si="1181"/>
        <v>0</v>
      </c>
      <c r="CB148" s="88">
        <f t="shared" si="1181"/>
        <v>0</v>
      </c>
      <c r="CC148" s="88">
        <f t="shared" si="1181"/>
        <v>0</v>
      </c>
      <c r="CD148" s="103">
        <f t="shared" si="1182"/>
        <v>28.07</v>
      </c>
      <c r="CE148" s="52"/>
      <c r="CF148" s="107">
        <f t="shared" si="1183"/>
        <v>33.9</v>
      </c>
      <c r="CG148" s="104">
        <f t="shared" si="1184"/>
        <v>0.82802359882005905</v>
      </c>
      <c r="CH148" s="53">
        <f t="shared" si="1185"/>
        <v>0.82763671874999978</v>
      </c>
      <c r="CI148" s="119">
        <f t="shared" si="1186"/>
        <v>1.5597272229794592</v>
      </c>
      <c r="CJ148" s="53">
        <f t="shared" si="1187"/>
        <v>1.2557891430219315</v>
      </c>
      <c r="CK148" s="209"/>
      <c r="CL148" s="209">
        <f t="shared" si="1188"/>
        <v>90.5</v>
      </c>
      <c r="CM148" s="110">
        <f t="shared" si="1189"/>
        <v>0.90290007695378371</v>
      </c>
      <c r="CN148" s="64">
        <f>IF(SeilBeregnet=0,"-",(SeilBeregnet)^(1/2)*StHfaktor/(Depl+DeplTillegg/1000+Vann/1000+Diesel/1000*0.84)^(1/3))</f>
        <v>3.7240934281302294</v>
      </c>
      <c r="CO148" s="64">
        <f t="shared" si="1140"/>
        <v>1.7709781580707415</v>
      </c>
      <c r="CP148" s="64">
        <f t="shared" si="1141"/>
        <v>1.5905414575341013</v>
      </c>
      <c r="CQ148" s="110">
        <f t="shared" si="1142"/>
        <v>1.013770804188977</v>
      </c>
      <c r="CR148" s="172" t="str">
        <f t="shared" si="965"/>
        <v>-</v>
      </c>
      <c r="CS148" s="162"/>
      <c r="CT148" s="172" t="str">
        <f t="shared" si="966"/>
        <v>-</v>
      </c>
      <c r="CU148" s="164"/>
      <c r="CV148" s="195" t="s">
        <v>145</v>
      </c>
      <c r="CW148" s="64">
        <v>0.77</v>
      </c>
      <c r="CX148" s="64">
        <v>0.8</v>
      </c>
      <c r="CY148" s="64">
        <v>0.85</v>
      </c>
      <c r="CZ148" s="154">
        <v>0.88</v>
      </c>
      <c r="DA148" s="64">
        <f t="shared" si="1096"/>
        <v>1.8381378657961083</v>
      </c>
      <c r="DB148" s="49">
        <f t="shared" si="1097"/>
        <v>9.8958333333333321</v>
      </c>
      <c r="DC148" s="50">
        <f t="shared" si="1098"/>
        <v>0</v>
      </c>
      <c r="DE148" s="110">
        <f>IF(SeilBeregnet=0,"-",DE$7*(DG:DG+DE$6)*DL:DL*PropF+ErfaringsF+Dyp_F)</f>
        <v>0.89850470151002582</v>
      </c>
      <c r="DF148" s="144">
        <f t="shared" si="1161"/>
        <v>-3.2320120091813065</v>
      </c>
      <c r="DG148" s="110">
        <f t="shared" si="1099"/>
        <v>5.5931180614158116</v>
      </c>
      <c r="DH148" s="136">
        <f t="shared" si="1190"/>
        <v>3.7590961521583561</v>
      </c>
      <c r="DI148" s="136">
        <f t="shared" si="1191"/>
        <v>0</v>
      </c>
      <c r="DJ148" s="136">
        <f t="shared" si="1192"/>
        <v>0</v>
      </c>
      <c r="DK148" s="136">
        <f t="shared" si="1193"/>
        <v>1.8340219092574557</v>
      </c>
      <c r="DL148" s="110">
        <f t="shared" si="1194"/>
        <v>1.5905414575341013</v>
      </c>
      <c r="DM148" s="136">
        <f t="shared" si="1195"/>
        <v>1.7914964302111964</v>
      </c>
      <c r="DO148" s="110">
        <f t="shared" si="733"/>
        <v>0.93082482160183888</v>
      </c>
      <c r="DP148" s="110">
        <f t="shared" si="1100"/>
        <v>0.87401863344823594</v>
      </c>
      <c r="DQ148" s="125">
        <f>DP148-DO148</f>
        <v>-5.6806188153602943E-2</v>
      </c>
      <c r="DR148" s="110">
        <f t="shared" si="1101"/>
        <v>0.88445899195552868</v>
      </c>
      <c r="DS148" s="125">
        <f t="shared" si="1162"/>
        <v>-4.6365829646310197E-2</v>
      </c>
      <c r="DT148" s="110">
        <f t="shared" si="1102"/>
        <v>0.91770459452930608</v>
      </c>
      <c r="DU148" s="125">
        <f t="shared" si="1163"/>
        <v>-1.3120227072532797E-2</v>
      </c>
      <c r="DV148" s="110">
        <f t="shared" si="214"/>
        <v>3.7589800407999436</v>
      </c>
      <c r="DW148" s="110">
        <f t="shared" si="215"/>
        <v>1.8565206547056485</v>
      </c>
      <c r="DX148" s="110">
        <f t="shared" si="1196"/>
        <v>1.5825742730785703</v>
      </c>
      <c r="DZ148" s="110">
        <f t="shared" si="1103"/>
        <v>0.91878742327711727</v>
      </c>
      <c r="EB148" s="110">
        <f t="shared" si="217"/>
        <v>3.7589800407999436</v>
      </c>
      <c r="EC148" s="110">
        <f t="shared" si="1197"/>
        <v>1.856624045251289</v>
      </c>
      <c r="ED148" s="110">
        <f t="shared" si="1198"/>
        <v>1.8441329174043459</v>
      </c>
      <c r="EE148" s="110">
        <f t="shared" si="1104"/>
        <v>0.9102136444022757</v>
      </c>
      <c r="EG148" s="110">
        <f t="shared" si="1199"/>
        <v>5.9488651055858259</v>
      </c>
      <c r="EH148" s="110">
        <f t="shared" si="219"/>
        <v>3.7589800407999436</v>
      </c>
      <c r="EI148" s="110">
        <f t="shared" si="1200"/>
        <v>1.5825742730785703</v>
      </c>
      <c r="EJ148" s="110">
        <f t="shared" si="1201"/>
        <v>1.5905414575341013</v>
      </c>
      <c r="EK148" s="110">
        <f>IF(SeilBeregnet=0,"-",EK$7*(EK$4*EM:EM+EK$6)*EP:EP*PropF+ErfaringsF+Dyp_F)</f>
        <v>0.90551744260857603</v>
      </c>
      <c r="EM148" s="110">
        <f>IF(SeilBeregnet=0,EM147,(EN:EN*EO:EO)^EM$3)</f>
        <v>1.9496118427280178</v>
      </c>
      <c r="EN148" s="110">
        <f t="shared" si="220"/>
        <v>3.7589800407999436</v>
      </c>
      <c r="EO148" s="110">
        <f t="shared" si="1202"/>
        <v>1.0111749187411099</v>
      </c>
      <c r="EP148" s="110">
        <f t="shared" si="1203"/>
        <v>1.6088616538127065</v>
      </c>
      <c r="EQ148" s="110">
        <f>IF(SeilBeregnet=0,"-",EQ$7*(ES:ES+EQ$6)*EV:EV*PropF+ErfaringsF+Dyp_F)</f>
        <v>0.85832453125952479</v>
      </c>
      <c r="ES148" s="110">
        <f>(ET:ET*EU:EU)^ES$3</f>
        <v>1.9496419533336742</v>
      </c>
      <c r="ET148" s="110">
        <f t="shared" si="221"/>
        <v>3.7590961521583561</v>
      </c>
      <c r="EU148" s="110">
        <f t="shared" si="1204"/>
        <v>1.0111749187411099</v>
      </c>
      <c r="EV148" s="110">
        <f t="shared" si="1205"/>
        <v>1.6088616538127065</v>
      </c>
      <c r="EW148" s="110">
        <f>IF(SeilBeregnet=0,"-",EW$7*(EY:EY+EW$6)*FB:FB*PropF+ErfaringsF+Dyp_F)</f>
        <v>0.90405293910424345</v>
      </c>
      <c r="EX148" s="144">
        <f t="shared" si="237"/>
        <v>-2.6771882497595434</v>
      </c>
      <c r="EY148" s="110">
        <f>(EZ:EZ*FA:FA)^EY$3</f>
        <v>3.8435807716890436</v>
      </c>
      <c r="EZ148" s="136">
        <f t="shared" si="1206"/>
        <v>3.7590961521583561</v>
      </c>
      <c r="FA148" s="136">
        <f t="shared" si="1207"/>
        <v>1.0224747162910901</v>
      </c>
      <c r="FB148" s="110">
        <f t="shared" si="1208"/>
        <v>0.90472939445297396</v>
      </c>
      <c r="FC148" s="110">
        <f>IF(SeilBeregnet=0,"-",FC$7*(FE:FE+FC$6)*FI:FI*PropF+ErfaringsF+Dyp_F)</f>
        <v>0.9040813033147076</v>
      </c>
      <c r="FD148" s="144">
        <f t="shared" si="238"/>
        <v>-2.6743518287131285</v>
      </c>
      <c r="FE148" s="110">
        <f>(FF:FF+FG:FG+FH:FH)^FE$3+FE$7</f>
        <v>5.9209481976001621</v>
      </c>
      <c r="FF148" s="136">
        <f t="shared" si="1209"/>
        <v>3.7590961521583561</v>
      </c>
      <c r="FG148" s="136">
        <f t="shared" si="1210"/>
        <v>0.8278301361843502</v>
      </c>
      <c r="FH148" s="136">
        <f t="shared" si="1211"/>
        <v>1.8340219092574557</v>
      </c>
      <c r="FI148" s="110">
        <f t="shared" si="1212"/>
        <v>1.5905414575341013</v>
      </c>
      <c r="FJ148" s="110">
        <f>IF(SeilBeregnet=0,"-",FJ$7*(FL:FL+FJ$6)*FO:FO*PropF+ErfaringsF+Dyp_F)</f>
        <v>0.9010445422151111</v>
      </c>
      <c r="FK148" s="144">
        <f t="shared" si="239"/>
        <v>-2.9780279386727782</v>
      </c>
      <c r="FL148" s="110">
        <f>(FM:FM*FN:FN)^FL$3</f>
        <v>6.8942647020638237</v>
      </c>
      <c r="FM148" s="136">
        <f t="shared" si="1213"/>
        <v>3.7590961521583561</v>
      </c>
      <c r="FN148" s="136">
        <f t="shared" si="1214"/>
        <v>1.8340219092574557</v>
      </c>
      <c r="FO148" s="110">
        <f t="shared" si="1215"/>
        <v>1.5905414575341013</v>
      </c>
      <c r="FQ148">
        <v>0.95</v>
      </c>
      <c r="FR148" s="64">
        <f t="shared" si="1164"/>
        <v>1.043622002802054</v>
      </c>
      <c r="FS148" s="479"/>
      <c r="FT148" s="18"/>
      <c r="FU148" s="481"/>
      <c r="FV148" s="504"/>
      <c r="FW148" s="18"/>
      <c r="FX148" s="18"/>
      <c r="FY148" s="18"/>
      <c r="FZ148" s="18"/>
      <c r="GB148" s="18"/>
      <c r="GC148" s="481"/>
      <c r="GD148" s="8"/>
      <c r="GE148" s="8"/>
      <c r="GF148" s="8"/>
      <c r="GG148" s="8"/>
      <c r="GI148" s="18"/>
      <c r="GJ148" s="18"/>
      <c r="GK148" s="18"/>
      <c r="GL148" s="18"/>
      <c r="GM148" s="18"/>
      <c r="GN148" s="18"/>
      <c r="GO148" s="18"/>
      <c r="GP148" s="18"/>
    </row>
    <row r="149" spans="1:198" ht="15.6" x14ac:dyDescent="0.3">
      <c r="A149" s="62" t="s">
        <v>36</v>
      </c>
      <c r="B149" s="223"/>
      <c r="C149" s="14" t="str">
        <f>C145</f>
        <v>Gaffel</v>
      </c>
      <c r="G149" s="56"/>
      <c r="H149" s="209">
        <f t="shared" si="1165"/>
        <v>86.999999999999986</v>
      </c>
      <c r="I149" s="65">
        <f t="shared" si="1166"/>
        <v>2</v>
      </c>
      <c r="J149" s="228">
        <f t="shared" si="1167"/>
        <v>29.4</v>
      </c>
      <c r="K149" s="119">
        <f t="shared" si="1168"/>
        <v>1.3526837863007699</v>
      </c>
      <c r="L149" s="119">
        <f t="shared" si="1169"/>
        <v>1.0890914691694626</v>
      </c>
      <c r="M149" s="95">
        <f t="shared" si="1170"/>
        <v>0.84761904761904761</v>
      </c>
      <c r="N149" s="265">
        <f t="shared" si="1171"/>
        <v>1.013770804188977</v>
      </c>
      <c r="O149" s="147"/>
      <c r="P149" s="147"/>
      <c r="Q149" s="147"/>
      <c r="R149" s="147"/>
      <c r="S149" s="147"/>
      <c r="T149" s="169">
        <v>7</v>
      </c>
      <c r="U149" s="169">
        <v>22.4</v>
      </c>
      <c r="V149" s="148"/>
      <c r="W149" s="148"/>
      <c r="X149" s="148"/>
      <c r="Y149" s="147"/>
      <c r="Z149" s="147"/>
      <c r="AA149" s="147"/>
      <c r="AB149" s="147"/>
      <c r="AC149" s="147"/>
      <c r="AD149" s="147"/>
      <c r="AE149" s="260">
        <f t="shared" ref="AE149" si="1226">AE148</f>
        <v>7.14</v>
      </c>
      <c r="AF149" s="375">
        <f t="shared" si="1173"/>
        <v>0</v>
      </c>
      <c r="AG149" s="377"/>
      <c r="AH149" s="375">
        <f t="shared" si="1173"/>
        <v>0</v>
      </c>
      <c r="AI149" s="377"/>
      <c r="AJ149" s="295" t="str">
        <f t="shared" ref="AJ149" si="1227" xml:space="preserve"> AJ148</f>
        <v>Los</v>
      </c>
      <c r="AK149" s="47">
        <f>VLOOKUP(AJ149,Skrogform!$1:$1048576,3,FALSE)</f>
        <v>0.97</v>
      </c>
      <c r="AL149" s="66">
        <f t="shared" ref="AL149:AT149" si="1228">AL148</f>
        <v>7.4</v>
      </c>
      <c r="AM149" s="66">
        <f t="shared" si="1228"/>
        <v>6.4</v>
      </c>
      <c r="AN149" s="66">
        <f t="shared" si="1228"/>
        <v>2.2000000000000002</v>
      </c>
      <c r="AO149" s="66">
        <f t="shared" si="1228"/>
        <v>0.95</v>
      </c>
      <c r="AP149" s="66">
        <f t="shared" si="1228"/>
        <v>2.8</v>
      </c>
      <c r="AQ149" s="66">
        <f t="shared" si="1228"/>
        <v>1</v>
      </c>
      <c r="AR149" s="66">
        <f t="shared" si="1228"/>
        <v>0.3</v>
      </c>
      <c r="AS149" s="284">
        <f t="shared" si="1228"/>
        <v>0</v>
      </c>
      <c r="AT149" s="284">
        <f t="shared" si="1228"/>
        <v>0</v>
      </c>
      <c r="AU149" s="284">
        <f t="shared" ref="AU149:AV149" si="1229">AU148</f>
        <v>0</v>
      </c>
      <c r="AV149" s="284">
        <f t="shared" si="1229"/>
        <v>0</v>
      </c>
      <c r="AW149" s="284"/>
      <c r="AX149" s="284">
        <f t="shared" si="1177"/>
        <v>0</v>
      </c>
      <c r="AY149" s="68"/>
      <c r="AZ149" s="68"/>
      <c r="BA149" s="289"/>
      <c r="BB149" s="68"/>
      <c r="BC149" s="179"/>
      <c r="BD149" s="68"/>
      <c r="BE149" s="68"/>
      <c r="BF149" s="67">
        <f t="shared" ref="BF149:BH149" si="1230" xml:space="preserve"> BF148</f>
        <v>0</v>
      </c>
      <c r="BG149" s="295">
        <f t="shared" si="1230"/>
        <v>0</v>
      </c>
      <c r="BH149" s="295">
        <f t="shared" si="1230"/>
        <v>0</v>
      </c>
      <c r="BI149" s="47">
        <f t="shared" si="1095"/>
        <v>1</v>
      </c>
      <c r="BJ149" s="61"/>
      <c r="BK149" s="61"/>
      <c r="BM149" s="51">
        <f t="shared" si="1179"/>
        <v>0</v>
      </c>
      <c r="BN149" s="51">
        <f t="shared" si="1179"/>
        <v>0</v>
      </c>
      <c r="BO149" s="51">
        <f t="shared" si="1179"/>
        <v>0</v>
      </c>
      <c r="BP149" s="51">
        <f t="shared" si="1179"/>
        <v>0</v>
      </c>
      <c r="BQ149" s="51">
        <f t="shared" si="1179"/>
        <v>0</v>
      </c>
      <c r="BR149" s="51">
        <f t="shared" si="1179"/>
        <v>7</v>
      </c>
      <c r="BS149" s="52">
        <f t="shared" si="1180"/>
        <v>0</v>
      </c>
      <c r="BT149" s="88">
        <f t="shared" si="1181"/>
        <v>17.919999999999998</v>
      </c>
      <c r="BU149" s="88">
        <f t="shared" si="1181"/>
        <v>0</v>
      </c>
      <c r="BV149" s="88">
        <f t="shared" si="1181"/>
        <v>0</v>
      </c>
      <c r="BW149" s="88">
        <f t="shared" si="1181"/>
        <v>0</v>
      </c>
      <c r="BX149" s="88">
        <f t="shared" si="1181"/>
        <v>0</v>
      </c>
      <c r="BY149" s="88">
        <f t="shared" si="1181"/>
        <v>0</v>
      </c>
      <c r="BZ149" s="88">
        <f t="shared" si="1181"/>
        <v>0</v>
      </c>
      <c r="CA149" s="88">
        <f t="shared" si="1181"/>
        <v>0</v>
      </c>
      <c r="CB149" s="88">
        <f t="shared" si="1181"/>
        <v>0</v>
      </c>
      <c r="CC149" s="88">
        <f t="shared" si="1181"/>
        <v>0</v>
      </c>
      <c r="CD149" s="103">
        <f t="shared" si="1182"/>
        <v>24.919999999999998</v>
      </c>
      <c r="CE149" s="52"/>
      <c r="CF149" s="107">
        <f t="shared" si="1183"/>
        <v>29.4</v>
      </c>
      <c r="CG149" s="104">
        <f t="shared" si="1184"/>
        <v>0.84761904761904761</v>
      </c>
      <c r="CH149" s="53">
        <f t="shared" si="1185"/>
        <v>0.71777343749999978</v>
      </c>
      <c r="CI149" s="119">
        <f t="shared" si="1186"/>
        <v>1.3526837863007699</v>
      </c>
      <c r="CJ149" s="53">
        <f t="shared" si="1187"/>
        <v>1.0890914691694626</v>
      </c>
      <c r="CK149" s="209"/>
      <c r="CL149" s="209">
        <f t="shared" si="1188"/>
        <v>86.999999999999986</v>
      </c>
      <c r="CM149" s="110">
        <f t="shared" si="1189"/>
        <v>0.86754462585025827</v>
      </c>
      <c r="CN149" s="64">
        <f>IF(SeilBeregnet=0,"-",(SeilBeregnet)^(1/2)*StHfaktor/(Depl+DeplTillegg/1000+Vann/1000+Diesel/1000*0.84)^(1/3))</f>
        <v>3.5089193022936622</v>
      </c>
      <c r="CO149" s="64">
        <f t="shared" si="1140"/>
        <v>1.7709781580707415</v>
      </c>
      <c r="CP149" s="64">
        <f t="shared" si="1141"/>
        <v>1.5905414575341013</v>
      </c>
      <c r="CQ149" s="110">
        <f t="shared" si="1142"/>
        <v>1.013770804188977</v>
      </c>
      <c r="CR149" s="172" t="str">
        <f t="shared" si="965"/>
        <v>-</v>
      </c>
      <c r="CS149" s="162"/>
      <c r="CT149" s="172" t="str">
        <f t="shared" si="966"/>
        <v>-</v>
      </c>
      <c r="CU149" s="164"/>
      <c r="CV149" s="195" t="s">
        <v>145</v>
      </c>
      <c r="CW149" s="64">
        <v>0.73</v>
      </c>
      <c r="CX149" s="64">
        <v>0.78</v>
      </c>
      <c r="CY149" s="64">
        <v>0.82</v>
      </c>
      <c r="CZ149" s="154">
        <v>0.85</v>
      </c>
      <c r="DA149" s="64">
        <f t="shared" si="1096"/>
        <v>1.8381378657961083</v>
      </c>
      <c r="DB149" s="49">
        <f t="shared" si="1097"/>
        <v>9.8958333333333321</v>
      </c>
      <c r="DC149" s="50">
        <f t="shared" si="1098"/>
        <v>0</v>
      </c>
      <c r="DE149" s="110">
        <f>IF(SeilBeregnet=0,"-",DE$7*(DG:DG+DE$6)*DL:DL*PropF+ErfaringsF+Dyp_F)</f>
        <v>0.86361323036178883</v>
      </c>
      <c r="DF149" s="144">
        <f t="shared" si="1161"/>
        <v>-3.0762672576621797</v>
      </c>
      <c r="DG149" s="110">
        <f t="shared" si="1099"/>
        <v>5.3759215157098179</v>
      </c>
      <c r="DH149" s="136">
        <f t="shared" si="1190"/>
        <v>3.541899606452362</v>
      </c>
      <c r="DI149" s="136">
        <f t="shared" si="1191"/>
        <v>0</v>
      </c>
      <c r="DJ149" s="136">
        <f t="shared" si="1192"/>
        <v>0</v>
      </c>
      <c r="DK149" s="136">
        <f t="shared" si="1193"/>
        <v>1.8340219092574557</v>
      </c>
      <c r="DL149" s="110">
        <f t="shared" si="1194"/>
        <v>1.5905414575341013</v>
      </c>
      <c r="DM149" s="136">
        <f t="shared" si="1195"/>
        <v>1.7914964302111964</v>
      </c>
      <c r="DO149" s="110">
        <f t="shared" si="733"/>
        <v>0.89437590293841063</v>
      </c>
      <c r="DP149" s="110">
        <f t="shared" si="1100"/>
        <v>0.83491923080415087</v>
      </c>
      <c r="DQ149" s="125">
        <f>DP149-DO149</f>
        <v>-5.9456672134259758E-2</v>
      </c>
      <c r="DR149" s="110">
        <f t="shared" si="1101"/>
        <v>0.8527654102062121</v>
      </c>
      <c r="DS149" s="125">
        <f t="shared" si="1162"/>
        <v>-4.1610492732198523E-2</v>
      </c>
      <c r="DT149" s="110">
        <f t="shared" si="1102"/>
        <v>0.87771556090462877</v>
      </c>
      <c r="DU149" s="125">
        <f t="shared" si="1163"/>
        <v>-1.6660342033781861E-2</v>
      </c>
      <c r="DV149" s="110">
        <f t="shared" si="214"/>
        <v>3.5417902038837608</v>
      </c>
      <c r="DW149" s="110">
        <f t="shared" si="215"/>
        <v>1.8565206547056485</v>
      </c>
      <c r="DX149" s="110">
        <f t="shared" si="1196"/>
        <v>1.5825742730785703</v>
      </c>
      <c r="DZ149" s="110">
        <f t="shared" si="1103"/>
        <v>0.88258033467993235</v>
      </c>
      <c r="EB149" s="110">
        <f t="shared" si="217"/>
        <v>3.5417902038837608</v>
      </c>
      <c r="EC149" s="110">
        <f t="shared" si="1197"/>
        <v>1.856624045251289</v>
      </c>
      <c r="ED149" s="110">
        <f t="shared" si="1198"/>
        <v>1.8441329174043459</v>
      </c>
      <c r="EE149" s="110">
        <f t="shared" si="1104"/>
        <v>0.87085484746364628</v>
      </c>
      <c r="EG149" s="110">
        <f t="shared" si="1199"/>
        <v>5.6051460573081444</v>
      </c>
      <c r="EH149" s="110">
        <f t="shared" si="219"/>
        <v>3.5417902038837608</v>
      </c>
      <c r="EI149" s="110">
        <f t="shared" si="1200"/>
        <v>1.5825742730785703</v>
      </c>
      <c r="EJ149" s="110">
        <f t="shared" si="1201"/>
        <v>1.5905414575341013</v>
      </c>
      <c r="EK149" s="110">
        <f>IF(SeilBeregnet=0,"-",EK$7*(EK$4*EM:EM+EK$6)*EP:EP*PropF+ErfaringsF+Dyp_F)</f>
        <v>0.86981101047489118</v>
      </c>
      <c r="EM149" s="110">
        <f>IF(SeilBeregnet=0,EM148,(EN:EN*EO:EO)^EM$3)</f>
        <v>1.8924506391476161</v>
      </c>
      <c r="EN149" s="110">
        <f t="shared" si="220"/>
        <v>3.5417902038837608</v>
      </c>
      <c r="EO149" s="110">
        <f t="shared" si="1202"/>
        <v>1.0111749187411099</v>
      </c>
      <c r="EP149" s="110">
        <f t="shared" si="1203"/>
        <v>1.6088616538127065</v>
      </c>
      <c r="EQ149" s="110">
        <f>IF(SeilBeregnet=0,"-",EQ$7*(ES:ES+EQ$6)*EV:EV*PropF+ErfaringsF+Dyp_F)</f>
        <v>0.83315907924794563</v>
      </c>
      <c r="ES149" s="110">
        <f>(ET:ET*EU:EU)^ES$3</f>
        <v>1.8924798669321785</v>
      </c>
      <c r="ET149" s="110">
        <f t="shared" si="221"/>
        <v>3.541899606452362</v>
      </c>
      <c r="EU149" s="110">
        <f t="shared" si="1204"/>
        <v>1.0111749187411099</v>
      </c>
      <c r="EV149" s="110">
        <f t="shared" si="1205"/>
        <v>1.6088616538127065</v>
      </c>
      <c r="EW149" s="110">
        <f>IF(SeilBeregnet=0,"-",EW$7*(EY:EY+EW$6)*FB:FB*PropF+ErfaringsF+Dyp_F)</f>
        <v>0.869695538194725</v>
      </c>
      <c r="EX149" s="144">
        <f t="shared" si="237"/>
        <v>-2.4680364743685623</v>
      </c>
      <c r="EY149" s="110">
        <f>(EZ:EZ*FA:FA)^EY$3</f>
        <v>3.6215027952389027</v>
      </c>
      <c r="EZ149" s="136">
        <f t="shared" si="1206"/>
        <v>3.541899606452362</v>
      </c>
      <c r="FA149" s="136">
        <f t="shared" si="1207"/>
        <v>1.0224747162910901</v>
      </c>
      <c r="FB149" s="110">
        <f t="shared" si="1208"/>
        <v>0.90472939445297396</v>
      </c>
      <c r="FC149" s="110">
        <f>IF(SeilBeregnet=0,"-",FC$7*(FE:FE+FC$6)*FI:FI*PropF+ErfaringsF+Dyp_F)</f>
        <v>0.86361370158759865</v>
      </c>
      <c r="FD149" s="144">
        <f t="shared" si="238"/>
        <v>-3.076220135081198</v>
      </c>
      <c r="FE149" s="110">
        <f>(FF:FF+FG:FG+FH:FH)^FE$3+FE$7</f>
        <v>5.6559205141066107</v>
      </c>
      <c r="FF149" s="136">
        <f t="shared" si="1209"/>
        <v>3.541899606452362</v>
      </c>
      <c r="FG149" s="136">
        <f t="shared" si="1210"/>
        <v>0.77999899839679276</v>
      </c>
      <c r="FH149" s="136">
        <f t="shared" si="1211"/>
        <v>1.8340219092574557</v>
      </c>
      <c r="FI149" s="110">
        <f t="shared" si="1212"/>
        <v>1.5905414575341013</v>
      </c>
      <c r="FJ149" s="110">
        <f>IF(SeilBeregnet=0,"-",FJ$7*(FL:FL+FJ$6)*FO:FO*PropF+ErfaringsF+Dyp_F)</f>
        <v>0.86809830883225225</v>
      </c>
      <c r="FK149" s="144">
        <f t="shared" si="239"/>
        <v>-2.6277594106158375</v>
      </c>
      <c r="FL149" s="110">
        <f>(FM:FM*FN:FN)^FL$3</f>
        <v>6.4959214786239921</v>
      </c>
      <c r="FM149" s="136">
        <f t="shared" si="1213"/>
        <v>3.541899606452362</v>
      </c>
      <c r="FN149" s="136">
        <f t="shared" si="1214"/>
        <v>1.8340219092574557</v>
      </c>
      <c r="FO149" s="110">
        <f t="shared" si="1215"/>
        <v>1.5905414575341013</v>
      </c>
      <c r="FQ149">
        <v>0.95</v>
      </c>
      <c r="FR149" s="64">
        <f t="shared" si="1164"/>
        <v>1.0129274723159687</v>
      </c>
      <c r="FS149" s="479"/>
      <c r="FT149" s="18"/>
      <c r="FU149" s="481"/>
      <c r="FV149" s="504"/>
      <c r="FW149" s="18"/>
      <c r="FX149" s="18"/>
      <c r="FY149" s="18"/>
      <c r="FZ149" s="18"/>
      <c r="GB149" s="18"/>
      <c r="GC149" s="481"/>
      <c r="GD149" s="8"/>
      <c r="GE149" s="8"/>
      <c r="GF149" s="8"/>
      <c r="GG149" s="8"/>
      <c r="GI149" s="18"/>
      <c r="GJ149" s="18"/>
      <c r="GK149" s="18"/>
      <c r="GL149" s="18"/>
      <c r="GM149" s="18"/>
      <c r="GN149" s="18"/>
      <c r="GO149" s="18"/>
      <c r="GP149" s="18"/>
    </row>
    <row r="150" spans="1:198" ht="15.6" x14ac:dyDescent="0.3">
      <c r="A150" s="62" t="s">
        <v>37</v>
      </c>
      <c r="B150" s="223"/>
      <c r="C150" s="14" t="str">
        <f>C146</f>
        <v>Gaffel</v>
      </c>
      <c r="G150" s="56"/>
      <c r="H150" s="209">
        <f t="shared" si="1165"/>
        <v>85.999999999999986</v>
      </c>
      <c r="I150" s="65">
        <f t="shared" si="1166"/>
        <v>3</v>
      </c>
      <c r="J150" s="228">
        <f t="shared" si="1167"/>
        <v>30.5</v>
      </c>
      <c r="K150" s="119">
        <f t="shared" si="1168"/>
        <v>1.4032944041555606</v>
      </c>
      <c r="L150" s="119">
        <f t="shared" si="1169"/>
        <v>1.1298397894445109</v>
      </c>
      <c r="M150" s="95">
        <f t="shared" si="1170"/>
        <v>0.79999999999999993</v>
      </c>
      <c r="N150" s="265">
        <f t="shared" si="1171"/>
        <v>1.013770804188977</v>
      </c>
      <c r="O150" s="147"/>
      <c r="P150" s="147"/>
      <c r="Q150" s="147"/>
      <c r="R150" s="169">
        <v>4.5</v>
      </c>
      <c r="S150" s="147"/>
      <c r="T150" s="169">
        <v>7</v>
      </c>
      <c r="U150" s="148"/>
      <c r="V150" s="184">
        <v>19</v>
      </c>
      <c r="W150" s="148"/>
      <c r="X150" s="148"/>
      <c r="Y150" s="147"/>
      <c r="Z150" s="147"/>
      <c r="AA150" s="147"/>
      <c r="AB150" s="147"/>
      <c r="AC150" s="147"/>
      <c r="AD150" s="147"/>
      <c r="AE150" s="260">
        <f t="shared" ref="AE150" si="1231">AE149</f>
        <v>7.14</v>
      </c>
      <c r="AF150" s="375">
        <f t="shared" si="1173"/>
        <v>0</v>
      </c>
      <c r="AG150" s="377"/>
      <c r="AH150" s="375">
        <f t="shared" si="1173"/>
        <v>0</v>
      </c>
      <c r="AI150" s="377"/>
      <c r="AJ150" s="295" t="str">
        <f t="shared" ref="AJ150" si="1232" xml:space="preserve"> AJ149</f>
        <v>Los</v>
      </c>
      <c r="AK150" s="47">
        <f>VLOOKUP(AJ150,Skrogform!$1:$1048576,3,FALSE)</f>
        <v>0.97</v>
      </c>
      <c r="AL150" s="66">
        <f t="shared" ref="AL150:AT150" si="1233">AL149</f>
        <v>7.4</v>
      </c>
      <c r="AM150" s="66">
        <f t="shared" si="1233"/>
        <v>6.4</v>
      </c>
      <c r="AN150" s="66">
        <f t="shared" si="1233"/>
        <v>2.2000000000000002</v>
      </c>
      <c r="AO150" s="66">
        <f t="shared" si="1233"/>
        <v>0.95</v>
      </c>
      <c r="AP150" s="66">
        <f t="shared" si="1233"/>
        <v>2.8</v>
      </c>
      <c r="AQ150" s="66">
        <f t="shared" si="1233"/>
        <v>1</v>
      </c>
      <c r="AR150" s="66">
        <f t="shared" si="1233"/>
        <v>0.3</v>
      </c>
      <c r="AS150" s="284">
        <f t="shared" si="1233"/>
        <v>0</v>
      </c>
      <c r="AT150" s="284">
        <f t="shared" si="1233"/>
        <v>0</v>
      </c>
      <c r="AU150" s="284">
        <f t="shared" ref="AU150:AV150" si="1234">AU149</f>
        <v>0</v>
      </c>
      <c r="AV150" s="284">
        <f t="shared" si="1234"/>
        <v>0</v>
      </c>
      <c r="AW150" s="284"/>
      <c r="AX150" s="284">
        <f t="shared" si="1177"/>
        <v>0</v>
      </c>
      <c r="AY150" s="68"/>
      <c r="AZ150" s="68"/>
      <c r="BA150" s="289"/>
      <c r="BB150" s="68"/>
      <c r="BC150" s="179"/>
      <c r="BD150" s="68"/>
      <c r="BE150" s="68"/>
      <c r="BF150" s="67">
        <f t="shared" ref="BF150:BH150" si="1235" xml:space="preserve"> BF149</f>
        <v>0</v>
      </c>
      <c r="BG150" s="295">
        <f t="shared" si="1235"/>
        <v>0</v>
      </c>
      <c r="BH150" s="295">
        <f t="shared" si="1235"/>
        <v>0</v>
      </c>
      <c r="BI150" s="47">
        <f t="shared" si="1095"/>
        <v>1</v>
      </c>
      <c r="BJ150" s="61"/>
      <c r="BK150" s="61"/>
      <c r="BM150" s="51">
        <f t="shared" si="1179"/>
        <v>0</v>
      </c>
      <c r="BN150" s="51">
        <f t="shared" si="1179"/>
        <v>0</v>
      </c>
      <c r="BO150" s="51">
        <f t="shared" si="1179"/>
        <v>0</v>
      </c>
      <c r="BP150" s="51">
        <f t="shared" si="1179"/>
        <v>4.5</v>
      </c>
      <c r="BQ150" s="51">
        <f t="shared" si="1179"/>
        <v>0</v>
      </c>
      <c r="BR150" s="51">
        <f t="shared" si="1179"/>
        <v>7</v>
      </c>
      <c r="BS150" s="52">
        <f t="shared" si="1180"/>
        <v>-1.3499999999999999</v>
      </c>
      <c r="BT150" s="88">
        <f t="shared" si="1181"/>
        <v>0</v>
      </c>
      <c r="BU150" s="88">
        <f t="shared" si="1181"/>
        <v>14.25</v>
      </c>
      <c r="BV150" s="88">
        <f t="shared" si="1181"/>
        <v>0</v>
      </c>
      <c r="BW150" s="88">
        <f t="shared" si="1181"/>
        <v>0</v>
      </c>
      <c r="BX150" s="88">
        <f t="shared" si="1181"/>
        <v>0</v>
      </c>
      <c r="BY150" s="88">
        <f t="shared" si="1181"/>
        <v>0</v>
      </c>
      <c r="BZ150" s="88">
        <f t="shared" si="1181"/>
        <v>0</v>
      </c>
      <c r="CA150" s="88">
        <f t="shared" si="1181"/>
        <v>0</v>
      </c>
      <c r="CB150" s="88">
        <f t="shared" si="1181"/>
        <v>0</v>
      </c>
      <c r="CC150" s="88">
        <f t="shared" si="1181"/>
        <v>0</v>
      </c>
      <c r="CD150" s="103">
        <f t="shared" si="1182"/>
        <v>24.4</v>
      </c>
      <c r="CE150" s="52"/>
      <c r="CF150" s="107">
        <f t="shared" si="1183"/>
        <v>30.5</v>
      </c>
      <c r="CG150" s="104">
        <f t="shared" si="1184"/>
        <v>0.79999999999999993</v>
      </c>
      <c r="CH150" s="53">
        <f t="shared" si="1185"/>
        <v>0.74462890625</v>
      </c>
      <c r="CI150" s="119">
        <f t="shared" si="1186"/>
        <v>1.4032944041555606</v>
      </c>
      <c r="CJ150" s="53">
        <f t="shared" si="1187"/>
        <v>1.1298397894445109</v>
      </c>
      <c r="CK150" s="209"/>
      <c r="CL150" s="209">
        <f t="shared" si="1188"/>
        <v>85.999999999999986</v>
      </c>
      <c r="CM150" s="110">
        <f t="shared" si="1189"/>
        <v>0.8614975064503414</v>
      </c>
      <c r="CN150" s="64">
        <f>IF(SeilBeregnet=0,"-",(SeilBeregnet)^(1/2)*StHfaktor/(Depl+DeplTillegg/1000+Vann/1000+Diesel/1000*0.84)^(1/3))</f>
        <v>3.4721163881716945</v>
      </c>
      <c r="CO150" s="64">
        <f t="shared" si="1140"/>
        <v>1.7709781580707415</v>
      </c>
      <c r="CP150" s="64">
        <f t="shared" si="1141"/>
        <v>1.5905414575341013</v>
      </c>
      <c r="CQ150" s="110">
        <f t="shared" si="1142"/>
        <v>1.013770804188977</v>
      </c>
      <c r="CR150" s="172" t="str">
        <f t="shared" si="965"/>
        <v>-</v>
      </c>
      <c r="CS150" s="162"/>
      <c r="CT150" s="172" t="str">
        <f t="shared" si="966"/>
        <v>-</v>
      </c>
      <c r="CU150" s="164"/>
      <c r="CV150" s="195" t="s">
        <v>145</v>
      </c>
      <c r="CW150" s="64">
        <v>0.73</v>
      </c>
      <c r="CX150" s="64">
        <v>0.78</v>
      </c>
      <c r="CY150" s="64">
        <v>0.82</v>
      </c>
      <c r="CZ150" s="154">
        <v>0.85</v>
      </c>
      <c r="DA150" s="64">
        <f t="shared" si="1096"/>
        <v>1.8381378657961083</v>
      </c>
      <c r="DB150" s="49">
        <f t="shared" si="1097"/>
        <v>9.8958333333333321</v>
      </c>
      <c r="DC150" s="50">
        <f t="shared" si="1098"/>
        <v>0</v>
      </c>
      <c r="DE150" s="110">
        <f>IF(SeilBeregnet=0,"-",DE$7*(DG:DG+DE$6)*DL:DL*PropF+ErfaringsF+Dyp_F)</f>
        <v>0.8576454690834977</v>
      </c>
      <c r="DF150" s="144" t="str">
        <f t="shared" si="1161"/>
        <v>-</v>
      </c>
      <c r="DG150" s="110">
        <f t="shared" si="1099"/>
        <v>5.3387726912955067</v>
      </c>
      <c r="DH150" s="136">
        <f t="shared" si="1190"/>
        <v>3.5047507820380508</v>
      </c>
      <c r="DI150" s="136">
        <f t="shared" si="1191"/>
        <v>0</v>
      </c>
      <c r="DJ150" s="136">
        <f t="shared" si="1192"/>
        <v>0</v>
      </c>
      <c r="DK150" s="136">
        <f t="shared" si="1193"/>
        <v>1.8340219092574557</v>
      </c>
      <c r="DL150" s="110">
        <f t="shared" si="1194"/>
        <v>1.5905414575341013</v>
      </c>
      <c r="DM150" s="136">
        <f t="shared" si="1195"/>
        <v>1.7914964302111964</v>
      </c>
      <c r="DO150" s="110">
        <f t="shared" si="733"/>
        <v>0.8881417592271561</v>
      </c>
      <c r="DP150" s="110">
        <f t="shared" si="1100"/>
        <v>0.82823175408204974</v>
      </c>
      <c r="DR150" s="110">
        <f t="shared" si="1101"/>
        <v>0.84734460896999131</v>
      </c>
      <c r="DS150" s="125" t="str">
        <f t="shared" si="1162"/>
        <v>-</v>
      </c>
      <c r="DT150" s="110">
        <f t="shared" si="1102"/>
        <v>0.87087592363603217</v>
      </c>
      <c r="DU150" s="125" t="str">
        <f t="shared" si="1163"/>
        <v>-</v>
      </c>
      <c r="DV150" s="110">
        <f t="shared" si="214"/>
        <v>3.5046425269262556</v>
      </c>
      <c r="DW150" s="110">
        <f t="shared" si="215"/>
        <v>1.8565206547056485</v>
      </c>
      <c r="DX150" s="110">
        <f t="shared" si="1196"/>
        <v>1.5825742730785703</v>
      </c>
      <c r="DZ150" s="110">
        <f t="shared" si="1103"/>
        <v>0.87638755305682603</v>
      </c>
      <c r="EB150" s="110">
        <f t="shared" si="217"/>
        <v>3.5046425269262556</v>
      </c>
      <c r="EC150" s="110">
        <f t="shared" si="1197"/>
        <v>1.856624045251289</v>
      </c>
      <c r="ED150" s="110">
        <f t="shared" si="1198"/>
        <v>1.8441329174043459</v>
      </c>
      <c r="EE150" s="110">
        <f t="shared" si="1104"/>
        <v>0.86412300450601964</v>
      </c>
      <c r="EG150" s="110">
        <f t="shared" si="1199"/>
        <v>5.5463570994505629</v>
      </c>
      <c r="EH150" s="110">
        <f t="shared" si="219"/>
        <v>3.5046425269262556</v>
      </c>
      <c r="EI150" s="110">
        <f t="shared" si="1200"/>
        <v>1.5825742730785703</v>
      </c>
      <c r="EJ150" s="110">
        <f t="shared" si="1201"/>
        <v>1.5905414575341013</v>
      </c>
      <c r="EK150" s="110">
        <f>IF(SeilBeregnet=0,"-",EK$7*(EK$4*EM:EM+EK$6)*EP:EP*PropF+ErfaringsF+Dyp_F)</f>
        <v>0.86359528603988756</v>
      </c>
      <c r="EM150" s="110">
        <f>IF(SeilBeregnet=0,EM149,(EN:EN*EO:EO)^EM$3)</f>
        <v>1.8825000989060516</v>
      </c>
      <c r="EN150" s="110">
        <f t="shared" si="220"/>
        <v>3.5046425269262556</v>
      </c>
      <c r="EO150" s="110">
        <f t="shared" si="1202"/>
        <v>1.0111749187411099</v>
      </c>
      <c r="EP150" s="110">
        <f t="shared" si="1203"/>
        <v>1.6088616538127065</v>
      </c>
      <c r="EQ150" s="110">
        <f>IF(SeilBeregnet=0,"-",EQ$7*(ES:ES+EQ$6)*EV:EV*PropF+ErfaringsF+Dyp_F)</f>
        <v>0.82877831349681597</v>
      </c>
      <c r="ES150" s="110">
        <f>(ET:ET*EU:EU)^ES$3</f>
        <v>1.8825291730103859</v>
      </c>
      <c r="ET150" s="110">
        <f t="shared" si="221"/>
        <v>3.5047507820380508</v>
      </c>
      <c r="EU150" s="110">
        <f t="shared" si="1204"/>
        <v>1.0111749187411099</v>
      </c>
      <c r="EV150" s="110">
        <f t="shared" si="1205"/>
        <v>1.6088616538127065</v>
      </c>
      <c r="EW150" s="110">
        <f>IF(SeilBeregnet=0,"-",EW$7*(EY:EY+EW$6)*FB:FB*PropF+ErfaringsF+Dyp_F)</f>
        <v>0.86381912312757425</v>
      </c>
      <c r="EX150" s="144" t="str">
        <f t="shared" si="237"/>
        <v>-</v>
      </c>
      <c r="EY150" s="110">
        <f>(EZ:EZ*FA:FA)^EY$3</f>
        <v>3.5835190615353323</v>
      </c>
      <c r="EZ150" s="136">
        <f t="shared" si="1206"/>
        <v>3.5047507820380508</v>
      </c>
      <c r="FA150" s="136">
        <f t="shared" si="1207"/>
        <v>1.0224747162910901</v>
      </c>
      <c r="FB150" s="110">
        <f t="shared" si="1208"/>
        <v>0.90472939445297396</v>
      </c>
      <c r="FC150" s="110">
        <f>IF(SeilBeregnet=0,"-",FC$7*(FE:FE+FC$6)*FI:FI*PropF+ErfaringsF+Dyp_F)</f>
        <v>0.85669221107244276</v>
      </c>
      <c r="FD150" s="144" t="str">
        <f t="shared" si="238"/>
        <v>-</v>
      </c>
      <c r="FE150" s="110">
        <f>(FF:FF+FG:FG+FH:FH)^FE$3+FE$7</f>
        <v>5.6105907559972863</v>
      </c>
      <c r="FF150" s="136">
        <f t="shared" si="1209"/>
        <v>3.5047507820380508</v>
      </c>
      <c r="FG150" s="136">
        <f t="shared" si="1210"/>
        <v>0.77181806470177927</v>
      </c>
      <c r="FH150" s="136">
        <f t="shared" si="1211"/>
        <v>1.8340219092574557</v>
      </c>
      <c r="FI150" s="110">
        <f t="shared" si="1212"/>
        <v>1.5905414575341013</v>
      </c>
      <c r="FJ150" s="110">
        <f>IF(SeilBeregnet=0,"-",FJ$7*(FL:FL+FJ$6)*FO:FO*PropF+ErfaringsF+Dyp_F)</f>
        <v>0.86246325678722813</v>
      </c>
      <c r="FK150" s="144" t="str">
        <f t="shared" si="239"/>
        <v>-</v>
      </c>
      <c r="FL150" s="110">
        <f>(FM:FM*FN:FN)^FL$3</f>
        <v>6.427789720744987</v>
      </c>
      <c r="FM150" s="136">
        <f t="shared" si="1213"/>
        <v>3.5047507820380508</v>
      </c>
      <c r="FN150" s="136">
        <f t="shared" si="1214"/>
        <v>1.8340219092574557</v>
      </c>
      <c r="FO150" s="110">
        <f t="shared" si="1215"/>
        <v>1.5905414575341013</v>
      </c>
      <c r="FQ150">
        <v>0.95</v>
      </c>
      <c r="FR150" s="64">
        <f t="shared" si="1164"/>
        <v>1.0076775466332146</v>
      </c>
      <c r="FS150" s="479"/>
      <c r="FT150" s="18"/>
      <c r="FU150" s="481"/>
      <c r="FV150" s="504"/>
      <c r="FW150" s="18"/>
      <c r="FX150" s="18"/>
      <c r="FY150" s="18"/>
      <c r="FZ150" s="18"/>
      <c r="GB150" s="18"/>
      <c r="GC150" s="481"/>
      <c r="GD150" s="8"/>
      <c r="GE150" s="8"/>
      <c r="GF150" s="8"/>
      <c r="GG150" s="8"/>
      <c r="GI150" s="18"/>
      <c r="GJ150" s="18"/>
      <c r="GK150" s="18"/>
      <c r="GL150" s="18"/>
      <c r="GM150" s="18"/>
      <c r="GN150" s="18"/>
      <c r="GO150" s="18"/>
      <c r="GP150" s="18"/>
    </row>
    <row r="151" spans="1:198" ht="15.6" x14ac:dyDescent="0.3">
      <c r="A151" s="62" t="s">
        <v>38</v>
      </c>
      <c r="B151" s="223"/>
      <c r="C151" s="14" t="str">
        <f>C147</f>
        <v>Gaffel</v>
      </c>
      <c r="G151" s="56"/>
      <c r="H151" s="209">
        <f t="shared" si="1165"/>
        <v>82.5</v>
      </c>
      <c r="I151" s="65">
        <f t="shared" si="1166"/>
        <v>2</v>
      </c>
      <c r="J151" s="228">
        <f t="shared" si="1167"/>
        <v>26</v>
      </c>
      <c r="K151" s="119">
        <f t="shared" si="1168"/>
        <v>1.1962509674768713</v>
      </c>
      <c r="L151" s="119">
        <f t="shared" si="1169"/>
        <v>0.9631421155920421</v>
      </c>
      <c r="M151" s="95">
        <f t="shared" si="1170"/>
        <v>0.81730769230769229</v>
      </c>
      <c r="N151" s="265">
        <f t="shared" si="1171"/>
        <v>1.013770804188977</v>
      </c>
      <c r="O151" s="147"/>
      <c r="P151" s="147"/>
      <c r="Q151" s="147"/>
      <c r="R151" s="147"/>
      <c r="S151" s="147"/>
      <c r="T151" s="169">
        <v>7</v>
      </c>
      <c r="U151" s="148"/>
      <c r="V151" s="184">
        <v>19</v>
      </c>
      <c r="W151" s="148"/>
      <c r="X151" s="148"/>
      <c r="Y151" s="147"/>
      <c r="Z151" s="147"/>
      <c r="AA151" s="147"/>
      <c r="AB151" s="147"/>
      <c r="AC151" s="147"/>
      <c r="AD151" s="147"/>
      <c r="AE151" s="260">
        <f t="shared" ref="AE151" si="1236">AE150</f>
        <v>7.14</v>
      </c>
      <c r="AF151" s="375">
        <f t="shared" si="1173"/>
        <v>0</v>
      </c>
      <c r="AG151" s="377"/>
      <c r="AH151" s="375">
        <f t="shared" si="1173"/>
        <v>0</v>
      </c>
      <c r="AI151" s="377"/>
      <c r="AJ151" s="295" t="str">
        <f t="shared" ref="AJ151" si="1237" xml:space="preserve"> AJ150</f>
        <v>Los</v>
      </c>
      <c r="AK151" s="47">
        <f>VLOOKUP(AJ151,Skrogform!$1:$1048576,3,FALSE)</f>
        <v>0.97</v>
      </c>
      <c r="AL151" s="66">
        <f t="shared" ref="AL151:AT151" si="1238">AL150</f>
        <v>7.4</v>
      </c>
      <c r="AM151" s="66">
        <f t="shared" si="1238"/>
        <v>6.4</v>
      </c>
      <c r="AN151" s="66">
        <f t="shared" si="1238"/>
        <v>2.2000000000000002</v>
      </c>
      <c r="AO151" s="66">
        <f t="shared" si="1238"/>
        <v>0.95</v>
      </c>
      <c r="AP151" s="66">
        <f t="shared" si="1238"/>
        <v>2.8</v>
      </c>
      <c r="AQ151" s="66">
        <f t="shared" si="1238"/>
        <v>1</v>
      </c>
      <c r="AR151" s="66">
        <f t="shared" si="1238"/>
        <v>0.3</v>
      </c>
      <c r="AS151" s="284">
        <f t="shared" si="1238"/>
        <v>0</v>
      </c>
      <c r="AT151" s="284">
        <f t="shared" si="1238"/>
        <v>0</v>
      </c>
      <c r="AU151" s="284">
        <f t="shared" ref="AU151:AV151" si="1239">AU150</f>
        <v>0</v>
      </c>
      <c r="AV151" s="284">
        <f t="shared" si="1239"/>
        <v>0</v>
      </c>
      <c r="AW151" s="284"/>
      <c r="AX151" s="284">
        <f t="shared" si="1177"/>
        <v>0</v>
      </c>
      <c r="AY151" s="68"/>
      <c r="AZ151" s="68"/>
      <c r="BA151" s="289"/>
      <c r="BB151" s="68"/>
      <c r="BC151" s="179"/>
      <c r="BD151" s="68"/>
      <c r="BE151" s="68"/>
      <c r="BF151" s="67">
        <f t="shared" ref="BF151:BH151" si="1240" xml:space="preserve"> BF150</f>
        <v>0</v>
      </c>
      <c r="BG151" s="295">
        <f t="shared" si="1240"/>
        <v>0</v>
      </c>
      <c r="BH151" s="295">
        <f t="shared" si="1240"/>
        <v>0</v>
      </c>
      <c r="BI151" s="47">
        <f t="shared" si="1095"/>
        <v>1</v>
      </c>
      <c r="BJ151" s="61"/>
      <c r="BK151" s="61"/>
      <c r="BM151" s="51">
        <f t="shared" si="1179"/>
        <v>0</v>
      </c>
      <c r="BN151" s="51">
        <f t="shared" si="1179"/>
        <v>0</v>
      </c>
      <c r="BO151" s="51">
        <f t="shared" si="1179"/>
        <v>0</v>
      </c>
      <c r="BP151" s="51">
        <f t="shared" si="1179"/>
        <v>0</v>
      </c>
      <c r="BQ151" s="51">
        <f t="shared" si="1179"/>
        <v>0</v>
      </c>
      <c r="BR151" s="51">
        <f t="shared" si="1179"/>
        <v>7</v>
      </c>
      <c r="BS151" s="52">
        <f t="shared" si="1180"/>
        <v>0</v>
      </c>
      <c r="BT151" s="88">
        <f t="shared" si="1181"/>
        <v>0</v>
      </c>
      <c r="BU151" s="88">
        <f t="shared" si="1181"/>
        <v>14.25</v>
      </c>
      <c r="BV151" s="88">
        <f t="shared" si="1181"/>
        <v>0</v>
      </c>
      <c r="BW151" s="88">
        <f t="shared" si="1181"/>
        <v>0</v>
      </c>
      <c r="BX151" s="88">
        <f t="shared" si="1181"/>
        <v>0</v>
      </c>
      <c r="BY151" s="88">
        <f t="shared" si="1181"/>
        <v>0</v>
      </c>
      <c r="BZ151" s="88">
        <f t="shared" si="1181"/>
        <v>0</v>
      </c>
      <c r="CA151" s="88">
        <f t="shared" si="1181"/>
        <v>0</v>
      </c>
      <c r="CB151" s="88">
        <f t="shared" si="1181"/>
        <v>0</v>
      </c>
      <c r="CC151" s="88">
        <f t="shared" si="1181"/>
        <v>0</v>
      </c>
      <c r="CD151" s="103">
        <f t="shared" si="1182"/>
        <v>21.25</v>
      </c>
      <c r="CE151" s="52"/>
      <c r="CF151" s="107">
        <f t="shared" si="1183"/>
        <v>26</v>
      </c>
      <c r="CG151" s="104">
        <f t="shared" si="1184"/>
        <v>0.81730769230769229</v>
      </c>
      <c r="CH151" s="53">
        <f t="shared" si="1185"/>
        <v>0.634765625</v>
      </c>
      <c r="CI151" s="119">
        <f t="shared" si="1186"/>
        <v>1.1962509674768713</v>
      </c>
      <c r="CJ151" s="53">
        <f t="shared" si="1187"/>
        <v>0.9631421155920421</v>
      </c>
      <c r="CK151" s="209"/>
      <c r="CL151" s="209">
        <f t="shared" si="1188"/>
        <v>82.5</v>
      </c>
      <c r="CM151" s="110">
        <f t="shared" si="1189"/>
        <v>0.82339971422755787</v>
      </c>
      <c r="CN151" s="64">
        <f>IF(SeilBeregnet=0,"-",(SeilBeregnet)^(1/2)*StHfaktor/(Depl+DeplTillegg/1000+Vann/1000+Diesel/1000*0.84)^(1/3))</f>
        <v>3.2402523083205614</v>
      </c>
      <c r="CO151" s="64">
        <f t="shared" si="1140"/>
        <v>1.7709781580707415</v>
      </c>
      <c r="CP151" s="64">
        <f t="shared" si="1141"/>
        <v>1.5905414575341013</v>
      </c>
      <c r="CQ151" s="110">
        <f t="shared" si="1142"/>
        <v>1.013770804188977</v>
      </c>
      <c r="CR151" s="172" t="str">
        <f t="shared" si="965"/>
        <v>-</v>
      </c>
      <c r="CS151" s="162"/>
      <c r="CT151" s="172" t="str">
        <f t="shared" si="966"/>
        <v>-</v>
      </c>
      <c r="CU151" s="164"/>
      <c r="CV151" s="195" t="s">
        <v>145</v>
      </c>
      <c r="CW151" s="64">
        <v>0.69</v>
      </c>
      <c r="CX151" s="64">
        <v>0.75</v>
      </c>
      <c r="CY151" s="64">
        <v>0.78</v>
      </c>
      <c r="CZ151" s="64">
        <v>0.8</v>
      </c>
      <c r="DA151" s="64">
        <f t="shared" si="1096"/>
        <v>1.8381378657961083</v>
      </c>
      <c r="DB151" s="49">
        <f t="shared" si="1097"/>
        <v>9.8958333333333321</v>
      </c>
      <c r="DC151" s="50">
        <f t="shared" si="1098"/>
        <v>0</v>
      </c>
      <c r="DE151" s="110">
        <f>IF(SeilBeregnet=0,"-",DE$7*(DG:DG+DE$6)*DL:DL*PropF+ErfaringsF+Dyp_F)</f>
        <v>0.82004764536289365</v>
      </c>
      <c r="DF151" s="144" t="str">
        <f t="shared" si="1161"/>
        <v>-</v>
      </c>
      <c r="DG151" s="110">
        <f t="shared" si="1099"/>
        <v>5.1047293228320738</v>
      </c>
      <c r="DH151" s="136">
        <f t="shared" si="1190"/>
        <v>3.2707074135746179</v>
      </c>
      <c r="DI151" s="136">
        <f t="shared" si="1191"/>
        <v>0</v>
      </c>
      <c r="DJ151" s="136">
        <f t="shared" si="1192"/>
        <v>0</v>
      </c>
      <c r="DK151" s="136">
        <f t="shared" si="1193"/>
        <v>1.8340219092574557</v>
      </c>
      <c r="DL151" s="110">
        <f t="shared" si="1194"/>
        <v>1.5905414575341013</v>
      </c>
      <c r="DM151" s="136">
        <f t="shared" si="1195"/>
        <v>1.7914964302111964</v>
      </c>
      <c r="DO151" s="110">
        <f t="shared" si="733"/>
        <v>0.84886568477067825</v>
      </c>
      <c r="DP151" s="110">
        <f t="shared" si="1100"/>
        <v>0.78609961118822658</v>
      </c>
      <c r="DR151" s="110">
        <f t="shared" si="1101"/>
        <v>0.81319271853743302</v>
      </c>
      <c r="DS151" s="125" t="str">
        <f t="shared" si="1162"/>
        <v>-</v>
      </c>
      <c r="DT151" s="110">
        <f t="shared" si="1102"/>
        <v>0.82778514564646899</v>
      </c>
      <c r="DU151" s="125" t="str">
        <f t="shared" si="1163"/>
        <v>-</v>
      </c>
      <c r="DV151" s="110">
        <f t="shared" si="214"/>
        <v>3.2706063876190719</v>
      </c>
      <c r="DW151" s="110">
        <f t="shared" si="215"/>
        <v>1.8565206547056485</v>
      </c>
      <c r="DX151" s="110">
        <f t="shared" si="1196"/>
        <v>1.5825742730785703</v>
      </c>
      <c r="DZ151" s="110">
        <f t="shared" si="1103"/>
        <v>0.83737206618527216</v>
      </c>
      <c r="EB151" s="110">
        <f t="shared" si="217"/>
        <v>3.2706063876190719</v>
      </c>
      <c r="EC151" s="110">
        <f t="shared" si="1197"/>
        <v>1.856624045251289</v>
      </c>
      <c r="ED151" s="110">
        <f t="shared" si="1198"/>
        <v>1.8441329174043459</v>
      </c>
      <c r="EE151" s="110">
        <f t="shared" si="1104"/>
        <v>0.82171134743181196</v>
      </c>
      <c r="EG151" s="110">
        <f t="shared" si="1199"/>
        <v>5.1759775264123817</v>
      </c>
      <c r="EH151" s="110">
        <f t="shared" si="219"/>
        <v>3.2706063876190719</v>
      </c>
      <c r="EI151" s="110">
        <f t="shared" si="1200"/>
        <v>1.5825742730785703</v>
      </c>
      <c r="EJ151" s="110">
        <f t="shared" si="1201"/>
        <v>1.5905414575341013</v>
      </c>
      <c r="EK151" s="110">
        <f>IF(SeilBeregnet=0,"-",EK$7*(EK$4*EM:EM+EK$6)*EP:EP*PropF+ErfaringsF+Dyp_F)</f>
        <v>0.82365342093662353</v>
      </c>
      <c r="EM151" s="110">
        <f>IF(SeilBeregnet=0,EM150,(EN:EN*EO:EO)^EM$3)</f>
        <v>1.8185585358285474</v>
      </c>
      <c r="EN151" s="110">
        <f t="shared" si="220"/>
        <v>3.2706063876190719</v>
      </c>
      <c r="EO151" s="110">
        <f t="shared" si="1202"/>
        <v>1.0111749187411099</v>
      </c>
      <c r="EP151" s="110">
        <f t="shared" si="1203"/>
        <v>1.6088616538127065</v>
      </c>
      <c r="EQ151" s="110">
        <f>IF(SeilBeregnet=0,"-",EQ$7*(ES:ES+EQ$6)*EV:EV*PropF+ErfaringsF+Dyp_F)</f>
        <v>0.80062778068116314</v>
      </c>
      <c r="ES151" s="110">
        <f>(ET:ET*EU:EU)^ES$3</f>
        <v>1.818586622393132</v>
      </c>
      <c r="ET151" s="110">
        <f t="shared" si="221"/>
        <v>3.2707074135746179</v>
      </c>
      <c r="EU151" s="110">
        <f t="shared" si="1204"/>
        <v>1.0111749187411099</v>
      </c>
      <c r="EV151" s="110">
        <f t="shared" si="1205"/>
        <v>1.6088616538127065</v>
      </c>
      <c r="EW151" s="110">
        <f>IF(SeilBeregnet=0,"-",EW$7*(EY:EY+EW$6)*FB:FB*PropF+ErfaringsF+Dyp_F)</f>
        <v>0.82679679473660117</v>
      </c>
      <c r="EX151" s="144" t="str">
        <f t="shared" si="237"/>
        <v>-</v>
      </c>
      <c r="EY151" s="110">
        <f>(EZ:EZ*FA:FA)^EY$3</f>
        <v>3.3442156347658725</v>
      </c>
      <c r="EZ151" s="136">
        <f t="shared" si="1206"/>
        <v>3.2707074135746179</v>
      </c>
      <c r="FA151" s="136">
        <f t="shared" si="1207"/>
        <v>1.0224747162910901</v>
      </c>
      <c r="FB151" s="110">
        <f t="shared" si="1208"/>
        <v>0.90472939445297396</v>
      </c>
      <c r="FC151" s="110">
        <f>IF(SeilBeregnet=0,"-",FC$7*(FE:FE+FC$6)*FI:FI*PropF+ErfaringsF+Dyp_F)</f>
        <v>0.8130857449057578</v>
      </c>
      <c r="FD151" s="144" t="str">
        <f t="shared" si="238"/>
        <v>-</v>
      </c>
      <c r="FE151" s="110">
        <f>(FF:FF+FG:FG+FH:FH)^FE$3+FE$7</f>
        <v>5.3250062335580806</v>
      </c>
      <c r="FF151" s="136">
        <f t="shared" si="1209"/>
        <v>3.2707074135746179</v>
      </c>
      <c r="FG151" s="136">
        <f t="shared" si="1210"/>
        <v>0.72027691072600675</v>
      </c>
      <c r="FH151" s="136">
        <f t="shared" si="1211"/>
        <v>1.8340219092574557</v>
      </c>
      <c r="FI151" s="110">
        <f t="shared" si="1212"/>
        <v>1.5905414575341013</v>
      </c>
      <c r="FJ151" s="110">
        <f>IF(SeilBeregnet=0,"-",FJ$7*(FL:FL+FJ$6)*FO:FO*PropF+ErfaringsF+Dyp_F)</f>
        <v>0.82696155295468021</v>
      </c>
      <c r="FK151" s="144" t="str">
        <f t="shared" si="239"/>
        <v>-</v>
      </c>
      <c r="FL151" s="110">
        <f>(FM:FM*FN:FN)^FL$3</f>
        <v>5.9985490552666354</v>
      </c>
      <c r="FM151" s="136">
        <f t="shared" si="1213"/>
        <v>3.2707074135746179</v>
      </c>
      <c r="FN151" s="136">
        <f t="shared" si="1214"/>
        <v>1.8340219092574557</v>
      </c>
      <c r="FO151" s="110">
        <f t="shared" si="1215"/>
        <v>1.5905414575341013</v>
      </c>
      <c r="FQ151">
        <v>0.95</v>
      </c>
      <c r="FR151" s="64">
        <f t="shared" si="1164"/>
        <v>0.97460219874949983</v>
      </c>
      <c r="FS151" s="479"/>
      <c r="FT151" s="18"/>
      <c r="FU151" s="481"/>
      <c r="FV151" s="504"/>
      <c r="FW151" s="18"/>
      <c r="FX151" s="18"/>
      <c r="FY151" s="18"/>
      <c r="FZ151" s="18"/>
      <c r="GB151" s="18"/>
      <c r="GC151" s="481"/>
      <c r="GD151" s="8"/>
      <c r="GE151" s="8"/>
      <c r="GF151" s="8"/>
      <c r="GG151" s="8"/>
      <c r="GI151" s="18"/>
      <c r="GJ151" s="18"/>
      <c r="GK151" s="18"/>
      <c r="GL151" s="18"/>
      <c r="GM151" s="18"/>
      <c r="GN151" s="18"/>
      <c r="GO151" s="18"/>
      <c r="GP151" s="18"/>
    </row>
    <row r="152" spans="1:198" ht="15.6" x14ac:dyDescent="0.3">
      <c r="A152" s="62" t="s">
        <v>39</v>
      </c>
      <c r="B152" s="223"/>
      <c r="C152" s="14" t="str">
        <f>C148</f>
        <v>Gaffel</v>
      </c>
      <c r="G152" s="56"/>
      <c r="H152" s="209">
        <f t="shared" si="1165"/>
        <v>77.5</v>
      </c>
      <c r="I152" s="65">
        <f t="shared" si="1166"/>
        <v>2</v>
      </c>
      <c r="J152" s="228">
        <f t="shared" si="1167"/>
        <v>22</v>
      </c>
      <c r="K152" s="119">
        <f t="shared" si="1168"/>
        <v>1.0122123570958141</v>
      </c>
      <c r="L152" s="119">
        <f t="shared" si="1169"/>
        <v>0.81496640550095867</v>
      </c>
      <c r="M152" s="95">
        <f t="shared" si="1170"/>
        <v>0.79545454545454541</v>
      </c>
      <c r="N152" s="265">
        <f t="shared" si="1171"/>
        <v>1.013770804188977</v>
      </c>
      <c r="O152" s="147"/>
      <c r="P152" s="147"/>
      <c r="Q152" s="147"/>
      <c r="R152" s="147"/>
      <c r="S152" s="147"/>
      <c r="T152" s="169">
        <v>7</v>
      </c>
      <c r="U152" s="148"/>
      <c r="V152" s="148"/>
      <c r="W152" s="184">
        <v>15</v>
      </c>
      <c r="X152" s="148"/>
      <c r="Y152" s="147"/>
      <c r="Z152" s="147"/>
      <c r="AA152" s="147"/>
      <c r="AB152" s="147"/>
      <c r="AC152" s="147"/>
      <c r="AD152" s="147"/>
      <c r="AE152" s="260">
        <f t="shared" ref="AE152" si="1241">AE151</f>
        <v>7.14</v>
      </c>
      <c r="AF152" s="375">
        <f t="shared" si="1173"/>
        <v>0</v>
      </c>
      <c r="AG152" s="377"/>
      <c r="AH152" s="375">
        <f t="shared" si="1173"/>
        <v>0</v>
      </c>
      <c r="AI152" s="377"/>
      <c r="AJ152" s="295" t="str">
        <f t="shared" ref="AJ152" si="1242" xml:space="preserve"> AJ151</f>
        <v>Los</v>
      </c>
      <c r="AK152" s="47">
        <f>VLOOKUP(AJ152,Skrogform!$1:$1048576,3,FALSE)</f>
        <v>0.97</v>
      </c>
      <c r="AL152" s="66">
        <f t="shared" ref="AL152:AT152" si="1243">AL151</f>
        <v>7.4</v>
      </c>
      <c r="AM152" s="66">
        <f t="shared" si="1243"/>
        <v>6.4</v>
      </c>
      <c r="AN152" s="66">
        <f t="shared" si="1243"/>
        <v>2.2000000000000002</v>
      </c>
      <c r="AO152" s="66">
        <f t="shared" si="1243"/>
        <v>0.95</v>
      </c>
      <c r="AP152" s="66">
        <f t="shared" si="1243"/>
        <v>2.8</v>
      </c>
      <c r="AQ152" s="66">
        <f t="shared" si="1243"/>
        <v>1</v>
      </c>
      <c r="AR152" s="66">
        <f t="shared" si="1243"/>
        <v>0.3</v>
      </c>
      <c r="AS152" s="284">
        <f t="shared" si="1243"/>
        <v>0</v>
      </c>
      <c r="AT152" s="284">
        <f t="shared" si="1243"/>
        <v>0</v>
      </c>
      <c r="AU152" s="284">
        <f t="shared" ref="AU152:AV152" si="1244">AU151</f>
        <v>0</v>
      </c>
      <c r="AV152" s="284">
        <f t="shared" si="1244"/>
        <v>0</v>
      </c>
      <c r="AW152" s="284"/>
      <c r="AX152" s="284">
        <f t="shared" si="1177"/>
        <v>0</v>
      </c>
      <c r="AY152" s="68"/>
      <c r="AZ152" s="68"/>
      <c r="BA152" s="289"/>
      <c r="BB152" s="68"/>
      <c r="BC152" s="179"/>
      <c r="BD152" s="68"/>
      <c r="BE152" s="68"/>
      <c r="BF152" s="67">
        <f t="shared" ref="BF152:BH152" si="1245" xml:space="preserve"> BF151</f>
        <v>0</v>
      </c>
      <c r="BG152" s="295">
        <f t="shared" si="1245"/>
        <v>0</v>
      </c>
      <c r="BH152" s="295">
        <f t="shared" si="1245"/>
        <v>0</v>
      </c>
      <c r="BI152" s="47">
        <f t="shared" si="1095"/>
        <v>1</v>
      </c>
      <c r="BJ152" s="61"/>
      <c r="BK152" s="61"/>
      <c r="BM152" s="51">
        <f t="shared" si="1179"/>
        <v>0</v>
      </c>
      <c r="BN152" s="51">
        <f t="shared" si="1179"/>
        <v>0</v>
      </c>
      <c r="BO152" s="51">
        <f t="shared" si="1179"/>
        <v>0</v>
      </c>
      <c r="BP152" s="51">
        <f t="shared" si="1179"/>
        <v>0</v>
      </c>
      <c r="BQ152" s="51">
        <f t="shared" si="1179"/>
        <v>0</v>
      </c>
      <c r="BR152" s="51">
        <f t="shared" si="1179"/>
        <v>7</v>
      </c>
      <c r="BS152" s="52">
        <f t="shared" si="1180"/>
        <v>0</v>
      </c>
      <c r="BT152" s="88">
        <f t="shared" si="1181"/>
        <v>0</v>
      </c>
      <c r="BU152" s="88">
        <f t="shared" si="1181"/>
        <v>0</v>
      </c>
      <c r="BV152" s="88">
        <f t="shared" si="1181"/>
        <v>10.5</v>
      </c>
      <c r="BW152" s="88">
        <f t="shared" si="1181"/>
        <v>0</v>
      </c>
      <c r="BX152" s="88">
        <f t="shared" si="1181"/>
        <v>0</v>
      </c>
      <c r="BY152" s="88">
        <f t="shared" si="1181"/>
        <v>0</v>
      </c>
      <c r="BZ152" s="88">
        <f t="shared" si="1181"/>
        <v>0</v>
      </c>
      <c r="CA152" s="88">
        <f t="shared" si="1181"/>
        <v>0</v>
      </c>
      <c r="CB152" s="88">
        <f t="shared" si="1181"/>
        <v>0</v>
      </c>
      <c r="CC152" s="88">
        <f t="shared" si="1181"/>
        <v>0</v>
      </c>
      <c r="CD152" s="103">
        <f t="shared" si="1182"/>
        <v>17.5</v>
      </c>
      <c r="CE152" s="52"/>
      <c r="CF152" s="107">
        <f t="shared" si="1183"/>
        <v>22</v>
      </c>
      <c r="CG152" s="104">
        <f t="shared" si="1184"/>
        <v>0.79545454545454541</v>
      </c>
      <c r="CH152" s="53">
        <f t="shared" si="1185"/>
        <v>0.537109375</v>
      </c>
      <c r="CI152" s="119">
        <f t="shared" si="1186"/>
        <v>1.0122123570958141</v>
      </c>
      <c r="CJ152" s="53">
        <f t="shared" si="1187"/>
        <v>0.81496640550095867</v>
      </c>
      <c r="CK152" s="209"/>
      <c r="CL152" s="209">
        <f t="shared" si="1188"/>
        <v>77.5</v>
      </c>
      <c r="CM152" s="110">
        <f t="shared" si="1189"/>
        <v>0.77414403439696644</v>
      </c>
      <c r="CN152" s="64">
        <f>IF(SeilBeregnet=0,"-",(SeilBeregnet)^(1/2)*StHfaktor/(Depl+DeplTillegg/1000+Vann/1000+Diesel/1000*0.84)^(1/3))</f>
        <v>2.9404810561026378</v>
      </c>
      <c r="CO152" s="64">
        <f t="shared" si="1140"/>
        <v>1.7709781580707415</v>
      </c>
      <c r="CP152" s="64">
        <f t="shared" si="1141"/>
        <v>1.5905414575341013</v>
      </c>
      <c r="CQ152" s="110">
        <f t="shared" si="1142"/>
        <v>1.013770804188977</v>
      </c>
      <c r="CR152" s="172" t="str">
        <f t="shared" si="965"/>
        <v>-</v>
      </c>
      <c r="CS152" s="162"/>
      <c r="CT152" s="172" t="str">
        <f t="shared" si="966"/>
        <v>-</v>
      </c>
      <c r="CU152" s="164"/>
      <c r="CV152" s="195" t="s">
        <v>145</v>
      </c>
      <c r="CW152" s="64">
        <v>0.65</v>
      </c>
      <c r="CX152" s="64">
        <v>0.73</v>
      </c>
      <c r="CY152" s="64">
        <v>0.74</v>
      </c>
      <c r="CZ152" s="154">
        <v>0.76</v>
      </c>
      <c r="DA152" s="64">
        <f t="shared" si="1096"/>
        <v>1.8381378657961083</v>
      </c>
      <c r="DB152" s="49">
        <f t="shared" si="1097"/>
        <v>9.8958333333333321</v>
      </c>
      <c r="DC152" s="50">
        <f t="shared" si="1098"/>
        <v>0</v>
      </c>
      <c r="DE152" s="110">
        <f>IF(SeilBeregnet=0,"-",DE$7*(DG:DG+DE$6)*DL:DL*PropF+ErfaringsF+Dyp_F)</f>
        <v>0.77143836226638929</v>
      </c>
      <c r="DF152" s="144" t="str">
        <f t="shared" si="1161"/>
        <v>-</v>
      </c>
      <c r="DG152" s="110">
        <f t="shared" si="1099"/>
        <v>4.8021405230376866</v>
      </c>
      <c r="DH152" s="136">
        <f t="shared" si="1190"/>
        <v>2.9681186137802307</v>
      </c>
      <c r="DI152" s="136">
        <f t="shared" si="1191"/>
        <v>0</v>
      </c>
      <c r="DJ152" s="136">
        <f t="shared" si="1192"/>
        <v>0</v>
      </c>
      <c r="DK152" s="136">
        <f t="shared" si="1193"/>
        <v>1.8340219092574557</v>
      </c>
      <c r="DL152" s="110">
        <f t="shared" si="1194"/>
        <v>1.5905414575341013</v>
      </c>
      <c r="DM152" s="136">
        <f t="shared" si="1195"/>
        <v>1.7914964302111964</v>
      </c>
      <c r="DO152" s="110">
        <f t="shared" si="733"/>
        <v>0.79808663339893449</v>
      </c>
      <c r="DP152" s="110">
        <f t="shared" si="1100"/>
        <v>0.73162802058214849</v>
      </c>
      <c r="DR152" s="110">
        <f t="shared" si="1101"/>
        <v>0.76903859614318215</v>
      </c>
      <c r="DS152" s="125" t="str">
        <f t="shared" si="1162"/>
        <v>-</v>
      </c>
      <c r="DT152" s="110">
        <f t="shared" si="1102"/>
        <v>0.77207415977375693</v>
      </c>
      <c r="DU152" s="125" t="str">
        <f t="shared" si="1163"/>
        <v>-</v>
      </c>
      <c r="DV152" s="110">
        <f t="shared" si="214"/>
        <v>2.9680269342194463</v>
      </c>
      <c r="DW152" s="110">
        <f t="shared" si="215"/>
        <v>1.8565206547056485</v>
      </c>
      <c r="DX152" s="110">
        <f t="shared" si="1196"/>
        <v>1.5825742730785703</v>
      </c>
      <c r="DZ152" s="110">
        <f t="shared" si="1103"/>
        <v>0.78692992196488731</v>
      </c>
      <c r="EB152" s="110">
        <f t="shared" si="217"/>
        <v>2.9680269342194463</v>
      </c>
      <c r="EC152" s="110">
        <f t="shared" si="1197"/>
        <v>1.856624045251289</v>
      </c>
      <c r="ED152" s="110">
        <f t="shared" si="1198"/>
        <v>1.8441329174043459</v>
      </c>
      <c r="EE152" s="110">
        <f t="shared" si="1104"/>
        <v>0.76687837995390318</v>
      </c>
      <c r="EG152" s="110">
        <f t="shared" si="1199"/>
        <v>4.697123067899958</v>
      </c>
      <c r="EH152" s="110">
        <f t="shared" si="219"/>
        <v>2.9680269342194463</v>
      </c>
      <c r="EI152" s="110">
        <f t="shared" si="1200"/>
        <v>1.5825742730785703</v>
      </c>
      <c r="EJ152" s="110">
        <f t="shared" si="1201"/>
        <v>1.5905414575341013</v>
      </c>
      <c r="EK152" s="110">
        <f>IF(SeilBeregnet=0,"-",EK$7*(EK$4*EM:EM+EK$6)*EP:EP*PropF+ErfaringsF+Dyp_F)</f>
        <v>0.76983068674793986</v>
      </c>
      <c r="EM152" s="110">
        <f>IF(SeilBeregnet=0,EM151,(EN:EN*EO:EO)^EM$3)</f>
        <v>1.7323955651151888</v>
      </c>
      <c r="EN152" s="110">
        <f t="shared" si="220"/>
        <v>2.9680269342194463</v>
      </c>
      <c r="EO152" s="110">
        <f t="shared" si="1202"/>
        <v>1.0111749187411099</v>
      </c>
      <c r="EP152" s="110">
        <f t="shared" si="1203"/>
        <v>1.6088616538127065</v>
      </c>
      <c r="EQ152" s="110">
        <f>IF(SeilBeregnet=0,"-",EQ$7*(ES:ES+EQ$6)*EV:EV*PropF+ErfaringsF+Dyp_F)</f>
        <v>0.76269418291126645</v>
      </c>
      <c r="ES152" s="110">
        <f>(ET:ET*EU:EU)^ES$3</f>
        <v>1.7324223209434817</v>
      </c>
      <c r="ET152" s="110">
        <f t="shared" si="221"/>
        <v>2.9681186137802307</v>
      </c>
      <c r="EU152" s="110">
        <f t="shared" si="1204"/>
        <v>1.0111749187411099</v>
      </c>
      <c r="EV152" s="110">
        <f t="shared" si="1205"/>
        <v>1.6088616538127065</v>
      </c>
      <c r="EW152" s="110">
        <f>IF(SeilBeregnet=0,"-",EW$7*(EY:EY+EW$6)*FB:FB*PropF+ErfaringsF+Dyp_F)</f>
        <v>0.77893155511470413</v>
      </c>
      <c r="EX152" s="144" t="str">
        <f t="shared" ref="EX152:EX203" si="1246">IF($DQ152=0,"-",(EW152-$DO152)*100)</f>
        <v>-</v>
      </c>
      <c r="EY152" s="110">
        <f>(EZ:EZ*FA:FA)^EY$3</f>
        <v>3.0348262375432449</v>
      </c>
      <c r="EZ152" s="136">
        <f t="shared" si="1206"/>
        <v>2.9681186137802307</v>
      </c>
      <c r="FA152" s="136">
        <f t="shared" si="1207"/>
        <v>1.0224747162910901</v>
      </c>
      <c r="FB152" s="110">
        <f t="shared" si="1208"/>
        <v>0.90472939445297396</v>
      </c>
      <c r="FC152" s="110">
        <f>IF(SeilBeregnet=0,"-",FC$7*(FE:FE+FC$6)*FI:FI*PropF+ErfaringsF+Dyp_F)</f>
        <v>0.75670803872557479</v>
      </c>
      <c r="FD152" s="144" t="str">
        <f t="shared" ref="FD152:FD203" si="1247">IF($DQ152=0,"-",(FC152-$DO152)*100)</f>
        <v>-</v>
      </c>
      <c r="FE152" s="110">
        <f>(FF:FF+FG:FG+FH:FH)^FE$3+FE$7</f>
        <v>4.9557811687674329</v>
      </c>
      <c r="FF152" s="136">
        <f t="shared" si="1209"/>
        <v>2.9681186137802307</v>
      </c>
      <c r="FG152" s="136">
        <f t="shared" si="1210"/>
        <v>0.65364064572974645</v>
      </c>
      <c r="FH152" s="136">
        <f t="shared" si="1211"/>
        <v>1.8340219092574557</v>
      </c>
      <c r="FI152" s="110">
        <f t="shared" si="1212"/>
        <v>1.5905414575341013</v>
      </c>
      <c r="FJ152" s="110">
        <f>IF(SeilBeregnet=0,"-",FJ$7*(FL:FL+FJ$6)*FO:FO*PropF+ErfaringsF+Dyp_F)</f>
        <v>0.78106229067746324</v>
      </c>
      <c r="FK152" s="144" t="str">
        <f t="shared" ref="FK152:FK203" si="1248">IF($DQ152=0,"-",(FJ152-$DO152)*100)</f>
        <v>-</v>
      </c>
      <c r="FL152" s="110">
        <f>(FM:FM*FN:FN)^FL$3</f>
        <v>5.4435945669478114</v>
      </c>
      <c r="FM152" s="136">
        <f t="shared" si="1213"/>
        <v>2.9681186137802307</v>
      </c>
      <c r="FN152" s="136">
        <f t="shared" si="1214"/>
        <v>1.8340219092574557</v>
      </c>
      <c r="FO152" s="110">
        <f t="shared" si="1215"/>
        <v>1.5905414575341013</v>
      </c>
      <c r="FQ152">
        <v>0.95</v>
      </c>
      <c r="FR152" s="64">
        <f t="shared" ref="FR152:FR183" si="1249">IF(SeilBeregnet=0,"-",0.06*2.43^(1/2)*(SeilBeregnet^(1/2)/Depl^(1/3)+(Loa/Bredde)^(1/2)+5*(Dypg/Loa)^(1/2))*Lwl^(1/4)*FQ152)</f>
        <v>0.93183991121013365</v>
      </c>
      <c r="FS152" s="479"/>
      <c r="FT152" s="18"/>
      <c r="FU152" s="481"/>
      <c r="FV152" s="504"/>
      <c r="FW152" s="18"/>
      <c r="FX152" s="18"/>
      <c r="FY152" s="18"/>
      <c r="FZ152" s="18"/>
      <c r="GB152" s="18"/>
      <c r="GC152" s="481"/>
      <c r="GD152" s="8"/>
      <c r="GE152" s="8"/>
      <c r="GF152" s="8"/>
      <c r="GG152" s="8"/>
      <c r="GI152" s="18"/>
      <c r="GJ152" s="18"/>
      <c r="GK152" s="18"/>
      <c r="GL152" s="18"/>
      <c r="GM152" s="18"/>
      <c r="GN152" s="18"/>
      <c r="GO152" s="18"/>
      <c r="GP152" s="18"/>
    </row>
    <row r="153" spans="1:198" ht="15.6" x14ac:dyDescent="0.3">
      <c r="A153" s="54" t="s">
        <v>89</v>
      </c>
      <c r="B153" s="223">
        <f t="shared" si="199"/>
        <v>27.985564304461938</v>
      </c>
      <c r="C153" s="55" t="s">
        <v>22</v>
      </c>
      <c r="D153" s="55"/>
      <c r="E153" s="55"/>
      <c r="F153" s="55"/>
      <c r="G153" s="56"/>
      <c r="H153" s="209"/>
      <c r="I153" s="126" t="str">
        <f>A153</f>
        <v>LARK</v>
      </c>
      <c r="J153" s="229"/>
      <c r="K153" s="119"/>
      <c r="L153" s="119"/>
      <c r="M153" s="95"/>
      <c r="N153" s="265"/>
      <c r="O153" s="169"/>
      <c r="P153" s="169">
        <v>37.200000000000003</v>
      </c>
      <c r="Q153" s="169">
        <v>25.1</v>
      </c>
      <c r="R153" s="169">
        <v>18.600000000000001</v>
      </c>
      <c r="S153" s="169">
        <v>11</v>
      </c>
      <c r="T153" s="169">
        <v>12.4</v>
      </c>
      <c r="U153" s="169">
        <v>37.200000000000003</v>
      </c>
      <c r="V153" s="181">
        <f>StorS-StorS/6</f>
        <v>31.000000000000004</v>
      </c>
      <c r="W153" s="181">
        <f>StorS-StorS/6*1.9</f>
        <v>25.42</v>
      </c>
      <c r="X153" s="169"/>
      <c r="Y153" s="169">
        <v>16.3</v>
      </c>
      <c r="Z153" s="169"/>
      <c r="AA153" s="169"/>
      <c r="AB153" s="169"/>
      <c r="AC153" s="169"/>
      <c r="AD153" s="169"/>
      <c r="AE153" s="263">
        <v>8.5299999999999994</v>
      </c>
      <c r="AF153" s="296"/>
      <c r="AG153" s="377"/>
      <c r="AH153" s="296"/>
      <c r="AI153" s="377"/>
      <c r="AJ153" s="296" t="s">
        <v>237</v>
      </c>
      <c r="AK153" s="47">
        <f>VLOOKUP(AJ153,Skrogform!$1:$1048576,3,FALSE)</f>
        <v>0.98</v>
      </c>
      <c r="AL153" s="57">
        <v>8.5299999999999994</v>
      </c>
      <c r="AM153" s="57">
        <v>8.3800000000000008</v>
      </c>
      <c r="AN153" s="57">
        <v>2.86</v>
      </c>
      <c r="AO153" s="57">
        <v>1.8</v>
      </c>
      <c r="AP153" s="57">
        <v>9.98</v>
      </c>
      <c r="AQ153" s="57">
        <v>5</v>
      </c>
      <c r="AR153" s="57">
        <v>0.5</v>
      </c>
      <c r="AS153" s="281"/>
      <c r="AT153" s="282">
        <f>AS153*7</f>
        <v>0</v>
      </c>
      <c r="AU153" s="281">
        <f>ROUND(Depl*10,-2)</f>
        <v>100</v>
      </c>
      <c r="AV153" s="281">
        <f>ROUND(Depl*10,-2)</f>
        <v>100</v>
      </c>
      <c r="AW153" s="270">
        <f>Depl+Diesel/1000+Vann/1000</f>
        <v>10.18</v>
      </c>
      <c r="AX153" s="281"/>
      <c r="AY153" s="98">
        <f>Bredde/(Loa+Lwl)*2</f>
        <v>0.33826138379657006</v>
      </c>
      <c r="AZ153" s="98">
        <f>(Kjøl+Ballast)/Depl</f>
        <v>0.55110220440881763</v>
      </c>
      <c r="BA153" s="288">
        <f>BA$7*((Depl-Kjøl-Ballast-VektMotor/1000-VektAnnet/1000)/Loa/Lwl/Bredde)</f>
        <v>0.94816745458469576</v>
      </c>
      <c r="BB153" s="98">
        <f>BB$7*(Depl/Loa/Lwl/Lwl)</f>
        <v>1.2510700639846999</v>
      </c>
      <c r="BC153" s="178">
        <f>BC$7*(Depl/Loa/Lwl/Bredde)</f>
        <v>1.3549770193361597</v>
      </c>
      <c r="BD153" s="98">
        <f>BD$7*Bredde/(Loa+Lwl)*2</f>
        <v>0.96495424861537682</v>
      </c>
      <c r="BE153" s="98">
        <f>BE$7*(Dypg/Lwl)</f>
        <v>1.1748469440697311</v>
      </c>
      <c r="BF153" s="58" t="s">
        <v>24</v>
      </c>
      <c r="BG153" s="296">
        <v>3</v>
      </c>
      <c r="BH153" s="296"/>
      <c r="BI153" s="47">
        <f t="shared" si="1095"/>
        <v>1</v>
      </c>
      <c r="BJ153" s="61">
        <v>0</v>
      </c>
      <c r="BK153" s="61"/>
      <c r="BM153" s="214"/>
      <c r="BN153" s="214" t="str">
        <f>$A153</f>
        <v>LARK</v>
      </c>
      <c r="BO153" s="10"/>
      <c r="BP153" s="10"/>
      <c r="BQ153" s="10"/>
      <c r="BR153" s="10"/>
      <c r="BS153" s="52"/>
      <c r="BT153" s="214" t="str">
        <f>$A153</f>
        <v>LARK</v>
      </c>
      <c r="BU153" s="10"/>
      <c r="BV153" s="10"/>
      <c r="BW153" s="10"/>
      <c r="BX153" s="10"/>
      <c r="BY153" s="10"/>
      <c r="BZ153" s="10"/>
      <c r="CA153" s="10"/>
      <c r="CB153" s="10"/>
      <c r="CC153" s="10"/>
      <c r="CD153" s="214"/>
      <c r="CE153" s="10"/>
      <c r="CF153" s="214" t="str">
        <f>$A153</f>
        <v>LARK</v>
      </c>
      <c r="CG153" s="212"/>
      <c r="CH153" s="212"/>
      <c r="CI153" s="119"/>
      <c r="CJ153" s="212"/>
      <c r="CK153" s="208"/>
      <c r="CL153" s="208" t="s">
        <v>26</v>
      </c>
      <c r="CM153" s="110" t="str">
        <f t="shared" si="1189"/>
        <v>-</v>
      </c>
      <c r="CN153" s="64" t="str">
        <f>IF(SeilBeregnet=0,"-",(SeilBeregnet)^(1/2)*StHfaktor/(Depl+DeplTillegg/1000+Vann/1000+Diesel/1000*0.84)^(1/3))</f>
        <v>-</v>
      </c>
      <c r="CO153" s="64" t="str">
        <f t="shared" si="1140"/>
        <v>-</v>
      </c>
      <c r="CP153" s="64" t="str">
        <f t="shared" si="1141"/>
        <v>-</v>
      </c>
      <c r="CQ153" s="110" t="str">
        <f t="shared" si="1142"/>
        <v>-</v>
      </c>
      <c r="CR153" s="172" t="str">
        <f t="shared" si="965"/>
        <v>-</v>
      </c>
      <c r="CS153" s="162"/>
      <c r="CT153" s="172" t="str">
        <f t="shared" si="966"/>
        <v>-</v>
      </c>
      <c r="CU153" s="164"/>
      <c r="CV153" s="195" t="s">
        <v>145</v>
      </c>
      <c r="CW153" s="30" t="s">
        <v>26</v>
      </c>
      <c r="CX153" s="30" t="s">
        <v>26</v>
      </c>
      <c r="CY153" s="30" t="s">
        <v>26</v>
      </c>
      <c r="CZ153" s="153">
        <v>2022</v>
      </c>
      <c r="DA153" s="64" t="str">
        <f t="shared" si="1096"/>
        <v>-</v>
      </c>
      <c r="DB153" s="49">
        <f t="shared" si="1097"/>
        <v>14.705882352941178</v>
      </c>
      <c r="DC153" s="50">
        <f t="shared" si="1098"/>
        <v>0</v>
      </c>
      <c r="DE153" s="110" t="str">
        <f>IF(SeilBeregnet=0,"-",DE$7*(DG:DG+DE$6)*DL:DL*PropF+ErfaringsF+Dyp_F)</f>
        <v>-</v>
      </c>
      <c r="DF153" s="144" t="str">
        <f t="shared" ref="DF153" si="1250">IF($DQ153=0,"-",(DE153-$DO153)*100)</f>
        <v>-</v>
      </c>
      <c r="DG153" s="110" t="e">
        <f t="shared" si="1099"/>
        <v>#REF!</v>
      </c>
      <c r="DH153" s="136" t="e">
        <f>IF(SeilBeregnet=0,#REF!,(SeilBeregnet^0.5/(Depl^0.3333))^DH$3*DH$7)</f>
        <v>#REF!</v>
      </c>
      <c r="DI153" s="136" t="e">
        <f>IF(SeilBeregnet=0,#REF!,(SeilBeregnet^0.5/Lwl)^DI$3*DI$7)</f>
        <v>#REF!</v>
      </c>
      <c r="DJ153" s="136" t="e">
        <f>IF(SeilBeregnet=0,#REF!,(0.1*Loa/Depl^0.3333)^DJ$3*DJ$7)</f>
        <v>#REF!</v>
      </c>
      <c r="DK153" s="136" t="e">
        <f>IF(SeilBeregnet=0,#REF!,((Loa)/Bredde)^DK$3*DK$7)</f>
        <v>#REF!</v>
      </c>
      <c r="DL153" s="110" t="e">
        <f>IF(SeilBeregnet=0,#REF!,(Lwl)^DL$3)</f>
        <v>#REF!</v>
      </c>
      <c r="DM153" s="136" t="e">
        <f>IF(SeilBeregnet=0,#REF!,(Dypg/Loa)^DM$3*5*DM$7)</f>
        <v>#REF!</v>
      </c>
      <c r="DO153" s="110" t="str">
        <f t="shared" si="467"/>
        <v>-</v>
      </c>
      <c r="DP153" s="110" t="str">
        <f t="shared" si="1100"/>
        <v>-</v>
      </c>
      <c r="DR153" s="110" t="str">
        <f t="shared" si="1101"/>
        <v>-</v>
      </c>
      <c r="DS153" s="125" t="str">
        <f t="shared" ref="DS153" si="1251">IF($DQ153=0,"-",DR153-$DO153)</f>
        <v>-</v>
      </c>
      <c r="DT153" s="110" t="str">
        <f t="shared" si="1102"/>
        <v>-</v>
      </c>
      <c r="DU153" s="125" t="str">
        <f t="shared" ref="DU153" si="1252">IF($DQ153=0,"-",DT153-$DO153)</f>
        <v>-</v>
      </c>
      <c r="DV153" s="110">
        <f t="shared" si="214"/>
        <v>2.9680269342194463</v>
      </c>
      <c r="DW153" s="110">
        <f t="shared" si="215"/>
        <v>1.8565206547056485</v>
      </c>
      <c r="DX153" s="110">
        <f t="shared" si="1196"/>
        <v>1.5825742730785703</v>
      </c>
      <c r="DZ153" s="110" t="str">
        <f t="shared" si="1103"/>
        <v>-</v>
      </c>
      <c r="EB153" s="110">
        <f t="shared" si="217"/>
        <v>2.9680269342194463</v>
      </c>
      <c r="EC153" s="110">
        <f t="shared" si="1197"/>
        <v>1.856624045251289</v>
      </c>
      <c r="ED153" s="110">
        <f t="shared" si="1198"/>
        <v>1.8441329174043459</v>
      </c>
      <c r="EE153" s="110" t="str">
        <f t="shared" si="1104"/>
        <v>-</v>
      </c>
      <c r="EG153" s="110">
        <f t="shared" si="1199"/>
        <v>4.697123067899958</v>
      </c>
      <c r="EH153" s="110">
        <f t="shared" si="219"/>
        <v>2.9680269342194463</v>
      </c>
      <c r="EI153" s="110">
        <f t="shared" si="1200"/>
        <v>1.5825742730785703</v>
      </c>
      <c r="EJ153" s="110">
        <f t="shared" si="1201"/>
        <v>1.5905414575341013</v>
      </c>
      <c r="EK153" s="110" t="str">
        <f>IF(SeilBeregnet=0,"-",EK$7*(EK$4*EM:EM+EK$6)*EP:EP*PropF+ErfaringsF+Dyp_F)</f>
        <v>-</v>
      </c>
      <c r="EM153" s="110">
        <f>IF(SeilBeregnet=0,EM152,(EN:EN*EO:EO)^EM$3)</f>
        <v>1.7323955651151888</v>
      </c>
      <c r="EN153" s="110">
        <f t="shared" si="220"/>
        <v>2.9680269342194463</v>
      </c>
      <c r="EO153" s="110">
        <f t="shared" si="1202"/>
        <v>1.0111749187411099</v>
      </c>
      <c r="EP153" s="110">
        <f t="shared" si="1203"/>
        <v>1.6088616538127065</v>
      </c>
      <c r="EQ153" s="110" t="str">
        <f>IF(SeilBeregnet=0,"-",EQ$7*(ES:ES+EQ$6)*EV:EV*PropF+ErfaringsF+Dyp_F)</f>
        <v>-</v>
      </c>
      <c r="ES153" s="110">
        <f>(ET:ET*EU:EU)^ES$3</f>
        <v>1.7324223209434817</v>
      </c>
      <c r="ET153" s="110">
        <f t="shared" si="221"/>
        <v>2.9681186137802307</v>
      </c>
      <c r="EU153" s="110">
        <f t="shared" si="1204"/>
        <v>1.0111749187411099</v>
      </c>
      <c r="EV153" s="110">
        <f t="shared" si="1205"/>
        <v>1.6088616538127065</v>
      </c>
      <c r="EW153" s="110" t="str">
        <f>IF(SeilBeregnet=0,"-",EW$7*(EY:EY+EW$6)*FB:FB*PropF+ErfaringsF+Dyp_F)</f>
        <v>-</v>
      </c>
      <c r="EX153" s="144" t="str">
        <f t="shared" ref="EX153" si="1253">IF($DQ153=0,"-",(EW153-$DO153)*100)</f>
        <v>-</v>
      </c>
      <c r="EY153" s="110">
        <f>(EZ:EZ*FA:FA)^EY$3</f>
        <v>3.0348262375432449</v>
      </c>
      <c r="EZ153" s="136">
        <f t="shared" si="1206"/>
        <v>2.9681186137802307</v>
      </c>
      <c r="FA153" s="136">
        <f t="shared" si="1207"/>
        <v>1.0224747162910901</v>
      </c>
      <c r="FB153" s="110">
        <f t="shared" si="1208"/>
        <v>0.90472939445297396</v>
      </c>
      <c r="FC153" s="110" t="str">
        <f>IF(SeilBeregnet=0,"-",FC$7*(FE:FE+FC$6)*FI:FI*PropF+ErfaringsF+Dyp_F)</f>
        <v>-</v>
      </c>
      <c r="FD153" s="144" t="str">
        <f t="shared" ref="FD153" si="1254">IF($DQ153=0,"-",(FC153-$DO153)*100)</f>
        <v>-</v>
      </c>
      <c r="FE153" s="110">
        <f>(FF:FF+FG:FG+FH:FH)^FE$3+FE$7</f>
        <v>4.9557811687674329</v>
      </c>
      <c r="FF153" s="136">
        <f t="shared" si="1209"/>
        <v>2.9681186137802307</v>
      </c>
      <c r="FG153" s="136">
        <f t="shared" si="1210"/>
        <v>0.65364064572974645</v>
      </c>
      <c r="FH153" s="136">
        <f t="shared" si="1211"/>
        <v>1.8340219092574557</v>
      </c>
      <c r="FI153" s="110">
        <f t="shared" si="1212"/>
        <v>1.5905414575341013</v>
      </c>
      <c r="FJ153" s="110" t="str">
        <f>IF(SeilBeregnet=0,"-",FJ$7*(FL:FL+FJ$6)*FO:FO*PropF+ErfaringsF+Dyp_F)</f>
        <v>-</v>
      </c>
      <c r="FK153" s="144" t="str">
        <f t="shared" ref="FK153" si="1255">IF($DQ153=0,"-",(FJ153-$DO153)*100)</f>
        <v>-</v>
      </c>
      <c r="FL153" s="110">
        <f>(FM:FM*FN:FN)^FL$3</f>
        <v>5.4435945669478114</v>
      </c>
      <c r="FM153" s="136">
        <f t="shared" si="1213"/>
        <v>2.9681186137802307</v>
      </c>
      <c r="FN153" s="136">
        <f t="shared" si="1214"/>
        <v>1.8340219092574557</v>
      </c>
      <c r="FO153" s="110">
        <f t="shared" si="1215"/>
        <v>1.5905414575341013</v>
      </c>
      <c r="FQ153">
        <v>0.95</v>
      </c>
      <c r="FR153" s="64" t="str">
        <f t="shared" si="1249"/>
        <v>-</v>
      </c>
      <c r="FS153" s="480" t="s">
        <v>90</v>
      </c>
      <c r="FT153" s="59" t="s">
        <v>90</v>
      </c>
      <c r="FU153" s="475"/>
      <c r="FV153" s="77"/>
      <c r="FW153" s="59"/>
      <c r="FX153" s="59"/>
      <c r="FY153" s="59"/>
      <c r="FZ153" s="59"/>
      <c r="GB153" s="59" t="s">
        <v>522</v>
      </c>
      <c r="GC153" s="475" t="s">
        <v>522</v>
      </c>
      <c r="GD153" s="60" t="s">
        <v>522</v>
      </c>
      <c r="GE153" s="60" t="s">
        <v>522</v>
      </c>
      <c r="GF153" s="60" t="s">
        <v>522</v>
      </c>
      <c r="GG153" s="60" t="s">
        <v>522</v>
      </c>
      <c r="GI153" s="59"/>
      <c r="GJ153" s="59"/>
      <c r="GK153" s="59"/>
      <c r="GL153" s="59"/>
      <c r="GM153" s="59"/>
      <c r="GN153" s="59"/>
      <c r="GO153" s="59"/>
      <c r="GP153" s="59"/>
    </row>
    <row r="154" spans="1:198" ht="15.6" x14ac:dyDescent="0.3">
      <c r="A154" s="54" t="s">
        <v>89</v>
      </c>
      <c r="B154" s="223">
        <f t="shared" si="199"/>
        <v>27.985564304461938</v>
      </c>
      <c r="C154" s="55" t="s">
        <v>22</v>
      </c>
      <c r="D154" s="55"/>
      <c r="E154" s="55"/>
      <c r="F154" s="55"/>
      <c r="G154" s="56"/>
      <c r="H154" s="209"/>
      <c r="I154" s="126" t="str">
        <f>A154</f>
        <v>LARK</v>
      </c>
      <c r="J154" s="229"/>
      <c r="K154" s="119"/>
      <c r="L154" s="119"/>
      <c r="M154" s="95"/>
      <c r="N154" s="265"/>
      <c r="O154" s="169"/>
      <c r="P154" s="169">
        <v>37.200000000000003</v>
      </c>
      <c r="Q154" s="169">
        <v>25.1</v>
      </c>
      <c r="R154" s="169">
        <v>18.600000000000001</v>
      </c>
      <c r="S154" s="169">
        <v>11</v>
      </c>
      <c r="T154" s="169">
        <v>12.4</v>
      </c>
      <c r="U154" s="169">
        <v>37.200000000000003</v>
      </c>
      <c r="V154" s="181">
        <f>StorS-StorS/6</f>
        <v>31.000000000000004</v>
      </c>
      <c r="W154" s="181">
        <f>StorS-StorS/6*1.9</f>
        <v>25.42</v>
      </c>
      <c r="X154" s="169"/>
      <c r="Y154" s="169">
        <v>16.3</v>
      </c>
      <c r="Z154" s="169"/>
      <c r="AA154" s="169"/>
      <c r="AB154" s="169"/>
      <c r="AC154" s="169"/>
      <c r="AD154" s="169"/>
      <c r="AE154" s="263">
        <v>8.5299999999999994</v>
      </c>
      <c r="AF154" s="296"/>
      <c r="AG154" s="377"/>
      <c r="AH154" s="296"/>
      <c r="AI154" s="377"/>
      <c r="AJ154" s="296" t="s">
        <v>237</v>
      </c>
      <c r="AK154" s="47">
        <f>VLOOKUP(AJ154,Skrogform!$1:$1048576,3,FALSE)</f>
        <v>0.98</v>
      </c>
      <c r="AL154" s="57">
        <v>8.5299999999999994</v>
      </c>
      <c r="AM154" s="57">
        <v>8.3800000000000008</v>
      </c>
      <c r="AN154" s="57">
        <v>2.86</v>
      </c>
      <c r="AO154" s="57">
        <v>1.8</v>
      </c>
      <c r="AP154" s="175">
        <v>9</v>
      </c>
      <c r="AQ154" s="57">
        <v>5</v>
      </c>
      <c r="AR154" s="57">
        <v>0.5</v>
      </c>
      <c r="AS154" s="281"/>
      <c r="AT154" s="282">
        <f>AS154*7</f>
        <v>0</v>
      </c>
      <c r="AU154" s="281">
        <f>ROUND(Depl*10,-2)</f>
        <v>100</v>
      </c>
      <c r="AV154" s="281">
        <f>ROUND(Depl*10,-2)</f>
        <v>100</v>
      </c>
      <c r="AW154" s="270">
        <f>Depl+Diesel/1000+Vann/1000</f>
        <v>9.1999999999999993</v>
      </c>
      <c r="AX154" s="281"/>
      <c r="AY154" s="98">
        <f>Bredde/(Loa+Lwl)*2</f>
        <v>0.33826138379657006</v>
      </c>
      <c r="AZ154" s="98">
        <f>(Kjøl+Ballast)/Depl</f>
        <v>0.61111111111111116</v>
      </c>
      <c r="BA154" s="288">
        <f>BA$7*((Depl-Kjøl-Ballast-VektMotor/1000-VektAnnet/1000)/Loa/Lwl/Bredde)</f>
        <v>0.7407558238942934</v>
      </c>
      <c r="BB154" s="98">
        <f>BB$7*(Depl/Loa/Lwl/Lwl)</f>
        <v>1.128219496579389</v>
      </c>
      <c r="BC154" s="178">
        <f>BC$7*(Depl/Loa/Lwl/Bredde)</f>
        <v>1.2219231637300039</v>
      </c>
      <c r="BD154" s="98">
        <f>BD$7*Bredde/(Loa+Lwl)*2</f>
        <v>0.96495424861537682</v>
      </c>
      <c r="BE154" s="98">
        <f>BE$7*(Dypg/Lwl)</f>
        <v>1.1748469440697311</v>
      </c>
      <c r="BF154" s="58" t="s">
        <v>24</v>
      </c>
      <c r="BG154" s="296">
        <v>3</v>
      </c>
      <c r="BH154" s="296"/>
      <c r="BI154" s="47">
        <f t="shared" si="1095"/>
        <v>1</v>
      </c>
      <c r="BJ154" s="61">
        <v>0</v>
      </c>
      <c r="BK154" s="61"/>
      <c r="BM154" s="214"/>
      <c r="BN154" s="214" t="str">
        <f>$A154</f>
        <v>LARK</v>
      </c>
      <c r="BO154" s="10"/>
      <c r="BP154" s="10"/>
      <c r="BQ154" s="10"/>
      <c r="BR154" s="10"/>
      <c r="BS154" s="52"/>
      <c r="BT154" s="214" t="str">
        <f>$A154</f>
        <v>LARK</v>
      </c>
      <c r="BU154" s="10"/>
      <c r="BV154" s="10"/>
      <c r="BW154" s="10"/>
      <c r="BX154" s="10"/>
      <c r="BY154" s="10"/>
      <c r="BZ154" s="10"/>
      <c r="CA154" s="10"/>
      <c r="CB154" s="10"/>
      <c r="CC154" s="10"/>
      <c r="CD154" s="214"/>
      <c r="CE154" s="10"/>
      <c r="CF154" s="214" t="str">
        <f>$A154</f>
        <v>LARK</v>
      </c>
      <c r="CG154" s="212"/>
      <c r="CH154" s="212"/>
      <c r="CI154" s="119"/>
      <c r="CJ154" s="212"/>
      <c r="CK154" s="208"/>
      <c r="CL154" s="208" t="s">
        <v>26</v>
      </c>
      <c r="CM154" s="110" t="str">
        <f t="shared" si="1189"/>
        <v>-</v>
      </c>
      <c r="CN154" s="64" t="str">
        <f>IF(SeilBeregnet=0,"-",(SeilBeregnet)^(1/2)*StHfaktor/(Depl+DeplTillegg/1000+Vann/1000+Diesel/1000*0.84)^(1/3))</f>
        <v>-</v>
      </c>
      <c r="CO154" s="64" t="str">
        <f t="shared" si="1140"/>
        <v>-</v>
      </c>
      <c r="CP154" s="64" t="str">
        <f t="shared" si="1141"/>
        <v>-</v>
      </c>
      <c r="CQ154" s="110" t="str">
        <f t="shared" si="1142"/>
        <v>-</v>
      </c>
      <c r="CR154" s="172" t="str">
        <f t="shared" si="965"/>
        <v>-</v>
      </c>
      <c r="CS154" s="162"/>
      <c r="CT154" s="172" t="str">
        <f t="shared" si="966"/>
        <v>-</v>
      </c>
      <c r="CU154" s="164"/>
      <c r="CV154" s="195" t="s">
        <v>145</v>
      </c>
      <c r="CW154" s="30" t="s">
        <v>26</v>
      </c>
      <c r="CX154" s="30" t="s">
        <v>26</v>
      </c>
      <c r="CY154" s="30" t="s">
        <v>26</v>
      </c>
      <c r="CZ154" s="153">
        <v>2022</v>
      </c>
      <c r="DA154" s="64" t="str">
        <f t="shared" si="1096"/>
        <v>-</v>
      </c>
      <c r="DB154" s="49">
        <f t="shared" si="1097"/>
        <v>14.705882352941178</v>
      </c>
      <c r="DC154" s="50">
        <f t="shared" si="1098"/>
        <v>0</v>
      </c>
      <c r="DE154" s="110" t="str">
        <f>IF(SeilBeregnet=0,"-",DE$7*(DG:DG+DE$6)*DL:DL*PropF+ErfaringsF+Dyp_F)</f>
        <v>-</v>
      </c>
      <c r="DF154" s="144" t="str">
        <f t="shared" si="1161"/>
        <v>-</v>
      </c>
      <c r="DG154" s="110" t="e">
        <f t="shared" si="1099"/>
        <v>#REF!</v>
      </c>
      <c r="DH154" s="136" t="e">
        <f>IF(SeilBeregnet=0,#REF!,(SeilBeregnet^0.5/(Depl^0.3333))^DH$3*DH$7)</f>
        <v>#REF!</v>
      </c>
      <c r="DI154" s="136" t="e">
        <f>IF(SeilBeregnet=0,#REF!,(SeilBeregnet^0.5/Lwl)^DI$3*DI$7)</f>
        <v>#REF!</v>
      </c>
      <c r="DJ154" s="136" t="e">
        <f>IF(SeilBeregnet=0,#REF!,(0.1*Loa/Depl^0.3333)^DJ$3*DJ$7)</f>
        <v>#REF!</v>
      </c>
      <c r="DK154" s="136" t="e">
        <f>IF(SeilBeregnet=0,#REF!,((Loa)/Bredde)^DK$3*DK$7)</f>
        <v>#REF!</v>
      </c>
      <c r="DL154" s="110" t="e">
        <f>IF(SeilBeregnet=0,#REF!,(Lwl)^DL$3)</f>
        <v>#REF!</v>
      </c>
      <c r="DM154" s="136" t="e">
        <f>IF(SeilBeregnet=0,#REF!,(Dypg/Loa)^DM$3*5*DM$7)</f>
        <v>#REF!</v>
      </c>
      <c r="DO154" s="110" t="str">
        <f t="shared" si="467"/>
        <v>-</v>
      </c>
      <c r="DP154" s="110" t="str">
        <f t="shared" si="1100"/>
        <v>-</v>
      </c>
      <c r="DR154" s="110" t="str">
        <f t="shared" si="1101"/>
        <v>-</v>
      </c>
      <c r="DS154" s="125" t="str">
        <f t="shared" si="1162"/>
        <v>-</v>
      </c>
      <c r="DT154" s="110" t="str">
        <f t="shared" si="1102"/>
        <v>-</v>
      </c>
      <c r="DU154" s="125" t="str">
        <f t="shared" si="1163"/>
        <v>-</v>
      </c>
      <c r="DV154" s="110">
        <f t="shared" si="214"/>
        <v>2.9680269342194463</v>
      </c>
      <c r="DW154" s="110">
        <f t="shared" si="215"/>
        <v>1.8565206547056485</v>
      </c>
      <c r="DX154" s="110">
        <f t="shared" si="1196"/>
        <v>1.5825742730785703</v>
      </c>
      <c r="DZ154" s="110" t="str">
        <f t="shared" si="1103"/>
        <v>-</v>
      </c>
      <c r="EB154" s="110">
        <f t="shared" si="217"/>
        <v>2.9680269342194463</v>
      </c>
      <c r="EC154" s="110">
        <f t="shared" si="1197"/>
        <v>1.856624045251289</v>
      </c>
      <c r="ED154" s="110">
        <f t="shared" si="1198"/>
        <v>1.8441329174043459</v>
      </c>
      <c r="EE154" s="110" t="str">
        <f t="shared" si="1104"/>
        <v>-</v>
      </c>
      <c r="EG154" s="110">
        <f t="shared" si="1199"/>
        <v>4.697123067899958</v>
      </c>
      <c r="EH154" s="110">
        <f t="shared" si="219"/>
        <v>2.9680269342194463</v>
      </c>
      <c r="EI154" s="110">
        <f t="shared" si="1200"/>
        <v>1.5825742730785703</v>
      </c>
      <c r="EJ154" s="110">
        <f t="shared" si="1201"/>
        <v>1.5905414575341013</v>
      </c>
      <c r="EK154" s="110" t="str">
        <f>IF(SeilBeregnet=0,"-",EK$7*(EK$4*EM:EM+EK$6)*EP:EP*PropF+ErfaringsF+Dyp_F)</f>
        <v>-</v>
      </c>
      <c r="EM154" s="110">
        <f>IF(SeilBeregnet=0,EM153,(EN:EN*EO:EO)^EM$3)</f>
        <v>1.7323955651151888</v>
      </c>
      <c r="EN154" s="110">
        <f t="shared" si="220"/>
        <v>2.9680269342194463</v>
      </c>
      <c r="EO154" s="110">
        <f t="shared" si="1202"/>
        <v>1.0111749187411099</v>
      </c>
      <c r="EP154" s="110">
        <f t="shared" si="1203"/>
        <v>1.6088616538127065</v>
      </c>
      <c r="EQ154" s="110" t="str">
        <f>IF(SeilBeregnet=0,"-",EQ$7*(ES:ES+EQ$6)*EV:EV*PropF+ErfaringsF+Dyp_F)</f>
        <v>-</v>
      </c>
      <c r="ES154" s="110">
        <f>(ET:ET*EU:EU)^ES$3</f>
        <v>1.7324223209434817</v>
      </c>
      <c r="ET154" s="110">
        <f t="shared" si="221"/>
        <v>2.9681186137802307</v>
      </c>
      <c r="EU154" s="110">
        <f t="shared" si="1204"/>
        <v>1.0111749187411099</v>
      </c>
      <c r="EV154" s="110">
        <f t="shared" si="1205"/>
        <v>1.6088616538127065</v>
      </c>
      <c r="EW154" s="110" t="str">
        <f>IF(SeilBeregnet=0,"-",EW$7*(EY:EY+EW$6)*FB:FB*PropF+ErfaringsF+Dyp_F)</f>
        <v>-</v>
      </c>
      <c r="EX154" s="144" t="str">
        <f t="shared" si="1246"/>
        <v>-</v>
      </c>
      <c r="EY154" s="110">
        <f>(EZ:EZ*FA:FA)^EY$3</f>
        <v>3.0348262375432449</v>
      </c>
      <c r="EZ154" s="136">
        <f t="shared" si="1206"/>
        <v>2.9681186137802307</v>
      </c>
      <c r="FA154" s="136">
        <f t="shared" si="1207"/>
        <v>1.0224747162910901</v>
      </c>
      <c r="FB154" s="110">
        <f t="shared" si="1208"/>
        <v>0.90472939445297396</v>
      </c>
      <c r="FC154" s="110" t="str">
        <f>IF(SeilBeregnet=0,"-",FC$7*(FE:FE+FC$6)*FI:FI*PropF+ErfaringsF+Dyp_F)</f>
        <v>-</v>
      </c>
      <c r="FD154" s="144" t="str">
        <f t="shared" si="1247"/>
        <v>-</v>
      </c>
      <c r="FE154" s="110">
        <f>(FF:FF+FG:FG+FH:FH)^FE$3+FE$7</f>
        <v>4.9557811687674329</v>
      </c>
      <c r="FF154" s="136">
        <f t="shared" si="1209"/>
        <v>2.9681186137802307</v>
      </c>
      <c r="FG154" s="136">
        <f t="shared" si="1210"/>
        <v>0.65364064572974645</v>
      </c>
      <c r="FH154" s="136">
        <f t="shared" si="1211"/>
        <v>1.8340219092574557</v>
      </c>
      <c r="FI154" s="110">
        <f t="shared" si="1212"/>
        <v>1.5905414575341013</v>
      </c>
      <c r="FJ154" s="110" t="str">
        <f>IF(SeilBeregnet=0,"-",FJ$7*(FL:FL+FJ$6)*FO:FO*PropF+ErfaringsF+Dyp_F)</f>
        <v>-</v>
      </c>
      <c r="FK154" s="144" t="str">
        <f t="shared" si="1248"/>
        <v>-</v>
      </c>
      <c r="FL154" s="110">
        <f>(FM:FM*FN:FN)^FL$3</f>
        <v>5.4435945669478114</v>
      </c>
      <c r="FM154" s="136">
        <f t="shared" si="1213"/>
        <v>2.9681186137802307</v>
      </c>
      <c r="FN154" s="136">
        <f t="shared" si="1214"/>
        <v>1.8340219092574557</v>
      </c>
      <c r="FO154" s="110">
        <f t="shared" si="1215"/>
        <v>1.5905414575341013</v>
      </c>
      <c r="FQ154">
        <v>0.95</v>
      </c>
      <c r="FR154" s="64" t="str">
        <f t="shared" si="1249"/>
        <v>-</v>
      </c>
      <c r="FS154" s="480" t="s">
        <v>90</v>
      </c>
      <c r="FT154" s="59" t="s">
        <v>90</v>
      </c>
      <c r="FU154" s="475"/>
      <c r="FV154" s="77"/>
      <c r="FW154" s="59"/>
      <c r="FX154" s="59"/>
      <c r="FY154" s="59"/>
      <c r="FZ154" s="59"/>
      <c r="GB154" s="59" t="s">
        <v>522</v>
      </c>
      <c r="GC154" s="475" t="s">
        <v>522</v>
      </c>
      <c r="GD154" s="60" t="s">
        <v>522</v>
      </c>
      <c r="GE154" s="60" t="s">
        <v>522</v>
      </c>
      <c r="GF154" s="60" t="s">
        <v>522</v>
      </c>
      <c r="GG154" s="60" t="s">
        <v>522</v>
      </c>
      <c r="GI154" s="59"/>
      <c r="GJ154" s="59"/>
      <c r="GK154" s="59"/>
      <c r="GL154" s="59"/>
      <c r="GM154" s="59"/>
      <c r="GN154" s="59"/>
      <c r="GO154" s="59"/>
      <c r="GP154" s="59"/>
    </row>
    <row r="155" spans="1:198" ht="15.6" x14ac:dyDescent="0.3">
      <c r="A155" s="62" t="s">
        <v>31</v>
      </c>
      <c r="B155" s="223"/>
      <c r="C155" s="63" t="s">
        <v>22</v>
      </c>
      <c r="D155" s="63"/>
      <c r="E155" s="63"/>
      <c r="F155" s="63"/>
      <c r="G155" s="56"/>
      <c r="H155" s="209">
        <f t="shared" ref="H155:H162" si="1256">TBFavrundet</f>
        <v>102</v>
      </c>
      <c r="I155" s="65">
        <f t="shared" ref="I155:I162" si="1257">COUNTA(O155:AD155)</f>
        <v>4</v>
      </c>
      <c r="J155" s="228">
        <f t="shared" ref="J155:J162" si="1258">SUM(O155:AD155)</f>
        <v>91</v>
      </c>
      <c r="K155" s="119">
        <f t="shared" ref="K155:K162" si="1259">Seilareal/Depl^0.667/K$7</f>
        <v>1.9216088910161802</v>
      </c>
      <c r="L155" s="119">
        <f t="shared" ref="L155:L162" si="1260">Seilareal/Lwl/Lwl/L$7</f>
        <v>1.9662119390308088</v>
      </c>
      <c r="M155" s="95">
        <f t="shared" ref="M155:M162" si="1261">RiggF</f>
        <v>0.78780219780219796</v>
      </c>
      <c r="N155" s="265">
        <f t="shared" ref="N155:N162" si="1262">StHfaktor</f>
        <v>1.0022201417492413</v>
      </c>
      <c r="O155" s="147"/>
      <c r="P155" s="147"/>
      <c r="Q155" s="169">
        <v>25.1</v>
      </c>
      <c r="R155" s="147"/>
      <c r="S155" s="147"/>
      <c r="T155" s="169">
        <v>12.4</v>
      </c>
      <c r="U155" s="169">
        <v>37.200000000000003</v>
      </c>
      <c r="V155" s="148"/>
      <c r="W155" s="148"/>
      <c r="X155" s="148"/>
      <c r="Y155" s="169">
        <v>16.3</v>
      </c>
      <c r="Z155" s="147"/>
      <c r="AA155" s="147"/>
      <c r="AB155" s="147"/>
      <c r="AC155" s="147"/>
      <c r="AD155" s="147"/>
      <c r="AE155" s="260">
        <f t="shared" ref="AE155" si="1263">AE154</f>
        <v>8.5299999999999994</v>
      </c>
      <c r="AF155" s="375">
        <f t="shared" ref="AF155:AH162" si="1264" xml:space="preserve"> AF154</f>
        <v>0</v>
      </c>
      <c r="AG155" s="377"/>
      <c r="AH155" s="375">
        <f t="shared" si="1264"/>
        <v>0</v>
      </c>
      <c r="AI155" s="377"/>
      <c r="AJ155" s="295" t="str">
        <f t="shared" ref="AJ155" si="1265" xml:space="preserve"> AJ154</f>
        <v>Lystb</v>
      </c>
      <c r="AK155" s="47">
        <f>VLOOKUP(AJ155,Skrogform!$1:$1048576,3,FALSE)</f>
        <v>0.98</v>
      </c>
      <c r="AL155" s="66">
        <f t="shared" ref="AL155:AT155" si="1266">AL154</f>
        <v>8.5299999999999994</v>
      </c>
      <c r="AM155" s="66">
        <f t="shared" si="1266"/>
        <v>8.3800000000000008</v>
      </c>
      <c r="AN155" s="66">
        <f t="shared" si="1266"/>
        <v>2.86</v>
      </c>
      <c r="AO155" s="66">
        <f t="shared" si="1266"/>
        <v>1.8</v>
      </c>
      <c r="AP155" s="66">
        <f t="shared" si="1266"/>
        <v>9</v>
      </c>
      <c r="AQ155" s="66">
        <f t="shared" si="1266"/>
        <v>5</v>
      </c>
      <c r="AR155" s="66">
        <f t="shared" si="1266"/>
        <v>0.5</v>
      </c>
      <c r="AS155" s="284">
        <f t="shared" si="1266"/>
        <v>0</v>
      </c>
      <c r="AT155" s="284">
        <f t="shared" si="1266"/>
        <v>0</v>
      </c>
      <c r="AU155" s="284">
        <f t="shared" ref="AU155:AV155" si="1267">AU154</f>
        <v>100</v>
      </c>
      <c r="AV155" s="284">
        <f t="shared" si="1267"/>
        <v>100</v>
      </c>
      <c r="AW155" s="284"/>
      <c r="AX155" s="284">
        <f t="shared" ref="AX155:AX162" si="1268">AX154</f>
        <v>0</v>
      </c>
      <c r="AY155" s="68"/>
      <c r="AZ155" s="68"/>
      <c r="BA155" s="289"/>
      <c r="BB155" s="68"/>
      <c r="BC155" s="179"/>
      <c r="BD155" s="68"/>
      <c r="BE155" s="68"/>
      <c r="BF155" s="67" t="str">
        <f t="shared" ref="BF155:BH155" si="1269" xml:space="preserve"> BF154</f>
        <v>Seilrett</v>
      </c>
      <c r="BG155" s="295">
        <f t="shared" si="1269"/>
        <v>3</v>
      </c>
      <c r="BH155" s="295">
        <f t="shared" si="1269"/>
        <v>0</v>
      </c>
      <c r="BI155" s="47">
        <f t="shared" si="1095"/>
        <v>1</v>
      </c>
      <c r="BJ155" s="61">
        <f>BJ154</f>
        <v>0</v>
      </c>
      <c r="BK155" s="61"/>
      <c r="BM155" s="51">
        <f t="shared" ref="BM155:BR162" si="1270">IF(O155=0,0,O155*BM$9)</f>
        <v>0</v>
      </c>
      <c r="BN155" s="51">
        <f t="shared" si="1270"/>
        <v>0</v>
      </c>
      <c r="BO155" s="51">
        <f t="shared" si="1270"/>
        <v>25.1</v>
      </c>
      <c r="BP155" s="51">
        <f t="shared" si="1270"/>
        <v>0</v>
      </c>
      <c r="BQ155" s="51">
        <f t="shared" si="1270"/>
        <v>0</v>
      </c>
      <c r="BR155" s="51">
        <f t="shared" si="1270"/>
        <v>12.4</v>
      </c>
      <c r="BS155" s="52">
        <f t="shared" ref="BS155:BS162" si="1271">IF(COUNT(P155:T155)&gt;1,MINA(P155:T155)*BS$9,0)</f>
        <v>-3.7199999999999998</v>
      </c>
      <c r="BT155" s="88">
        <f t="shared" ref="BT155:CC162" si="1272">IF(U155=0,0,U155*BT$9)</f>
        <v>29.760000000000005</v>
      </c>
      <c r="BU155" s="88">
        <f t="shared" si="1272"/>
        <v>0</v>
      </c>
      <c r="BV155" s="88">
        <f t="shared" si="1272"/>
        <v>0</v>
      </c>
      <c r="BW155" s="88">
        <f t="shared" si="1272"/>
        <v>0</v>
      </c>
      <c r="BX155" s="88">
        <f t="shared" si="1272"/>
        <v>8.15</v>
      </c>
      <c r="BY155" s="88">
        <f t="shared" si="1272"/>
        <v>0</v>
      </c>
      <c r="BZ155" s="88">
        <f t="shared" si="1272"/>
        <v>0</v>
      </c>
      <c r="CA155" s="88">
        <f t="shared" si="1272"/>
        <v>0</v>
      </c>
      <c r="CB155" s="88">
        <f t="shared" si="1272"/>
        <v>0</v>
      </c>
      <c r="CC155" s="88">
        <f t="shared" si="1272"/>
        <v>0</v>
      </c>
      <c r="CD155" s="103">
        <f t="shared" ref="CD155:CD162" si="1273">SUM(BM155:CC155)</f>
        <v>71.690000000000012</v>
      </c>
      <c r="CE155" s="52"/>
      <c r="CF155" s="107">
        <f t="shared" ref="CF155:CF162" si="1274">J155</f>
        <v>91</v>
      </c>
      <c r="CG155" s="104">
        <f t="shared" ref="CG155:CG162" si="1275">CD155/CF155</f>
        <v>0.78780219780219796</v>
      </c>
      <c r="CH155" s="53">
        <f t="shared" ref="CH155:CH162" si="1276">Seilareal/Lwl/Lwl</f>
        <v>1.2958458883237163</v>
      </c>
      <c r="CI155" s="119">
        <f t="shared" ref="CI155:CI162" si="1277">Seilareal/Depl^0.667/K$7</f>
        <v>1.9216088910161802</v>
      </c>
      <c r="CJ155" s="53">
        <f t="shared" ref="CJ155:CJ162" si="1278">Seilareal/Lwl/Lwl/SApRS1</f>
        <v>1.9662119390308088</v>
      </c>
      <c r="CK155" s="209"/>
      <c r="CL155" s="209">
        <f t="shared" ref="CL155:CL162" si="1279">(ROUND(TBF/CL$6,3)*CL$6)*CL$4</f>
        <v>102</v>
      </c>
      <c r="CM155" s="110">
        <f t="shared" si="1189"/>
        <v>1.0197373685711968</v>
      </c>
      <c r="CN155" s="64">
        <f>IF(SeilBeregnet=0,"-",(SeilBeregnet)^(1/2)*StHfaktor/(Depl+DeplTillegg/1000+Vann/1000+Diesel/1000*0.84)^(1/3))</f>
        <v>4.0231208985607481</v>
      </c>
      <c r="CO155" s="64">
        <f t="shared" si="1140"/>
        <v>1.719387596295177</v>
      </c>
      <c r="CP155" s="64">
        <f t="shared" si="1141"/>
        <v>1.7014179278548895</v>
      </c>
      <c r="CQ155" s="110">
        <f t="shared" si="1142"/>
        <v>1.0022201417492413</v>
      </c>
      <c r="CR155" s="172"/>
      <c r="CS155" s="163"/>
      <c r="CT155" s="172"/>
      <c r="CU155" s="163"/>
      <c r="CV155" s="195" t="s">
        <v>145</v>
      </c>
      <c r="CW155" s="64">
        <v>0.92</v>
      </c>
      <c r="CX155" s="64">
        <v>0.89</v>
      </c>
      <c r="CY155" s="64">
        <v>0.96</v>
      </c>
      <c r="CZ155" s="154">
        <v>0.96</v>
      </c>
      <c r="DA155" s="64">
        <f t="shared" si="1096"/>
        <v>2.2101391924363338</v>
      </c>
      <c r="DB155" s="49">
        <f t="shared" si="1097"/>
        <v>14.705882352941178</v>
      </c>
      <c r="DC155" s="50">
        <f t="shared" si="1098"/>
        <v>0</v>
      </c>
      <c r="DE155" s="110">
        <f>IF(SeilBeregnet=0,"-",DE$7*(DG:DG+DE$6)*DL:DL*PropF+ErfaringsF+Dyp_F)</f>
        <v>0.99631279290995056</v>
      </c>
      <c r="DF155" s="144">
        <f t="shared" si="1161"/>
        <v>-4.4235542366780951</v>
      </c>
      <c r="DG155" s="110">
        <f t="shared" si="1099"/>
        <v>5.7978013141987077</v>
      </c>
      <c r="DH155" s="136">
        <f t="shared" ref="DH155:DH162" si="1280">IF(SeilBeregnet=0,DH154,(SeilBeregnet^0.5/(Depl^0.3333))^DH$3*DH$7)</f>
        <v>4.0708046487365293</v>
      </c>
      <c r="DI155" s="136">
        <f t="shared" ref="DI155:DI162" si="1281">IF(SeilBeregnet=0,DI154,(SeilBeregnet^0.5/Lwl)^DI$3*DI$7)</f>
        <v>0</v>
      </c>
      <c r="DJ155" s="136">
        <f t="shared" ref="DJ155:DJ162" si="1282">IF(SeilBeregnet=0,DJ154,(0.1*Loa/Depl^0.3333)^DJ$3*DJ$7)</f>
        <v>0</v>
      </c>
      <c r="DK155" s="136">
        <f t="shared" ref="DK155:DK162" si="1283">IF(SeilBeregnet=0,DK154,((Loa)/Bredde)^DK$3*DK$7)</f>
        <v>1.7269966654621782</v>
      </c>
      <c r="DL155" s="110">
        <f t="shared" ref="DL155:DL162" si="1284">IF(SeilBeregnet=0,DL154,(Lwl)^DL$3)</f>
        <v>1.7014179278548895</v>
      </c>
      <c r="DM155" s="136">
        <f t="shared" ref="DM155:DM162" si="1285">IF(SeilBeregnet=0,DM154,(Dypg/Loa)^DM$3*5*DM$7)</f>
        <v>2.2968452802704382</v>
      </c>
      <c r="DO155" s="110">
        <f t="shared" si="467"/>
        <v>1.0405483352767315</v>
      </c>
      <c r="DP155" s="110">
        <f t="shared" si="1100"/>
        <v>1.0553581746699625</v>
      </c>
      <c r="DQ155" s="125">
        <f>DP155-DO155</f>
        <v>1.4809839393230995E-2</v>
      </c>
      <c r="DR155" s="110">
        <f t="shared" si="1101"/>
        <v>1.0310737096744134</v>
      </c>
      <c r="DS155" s="125">
        <f t="shared" si="1162"/>
        <v>-9.4746256023181541E-3</v>
      </c>
      <c r="DT155" s="110">
        <f t="shared" si="1102"/>
        <v>1.0334877854348985</v>
      </c>
      <c r="DU155" s="125">
        <f t="shared" si="1163"/>
        <v>-7.0605498418330193E-3</v>
      </c>
      <c r="DV155" s="110">
        <f t="shared" si="214"/>
        <v>4.0705363234194785</v>
      </c>
      <c r="DW155" s="110">
        <f t="shared" si="215"/>
        <v>2.0310341765391291</v>
      </c>
      <c r="DX155" s="110">
        <f t="shared" si="1196"/>
        <v>1.5593528329588258</v>
      </c>
      <c r="DZ155" s="110">
        <f t="shared" si="1103"/>
        <v>1.0200324206399556</v>
      </c>
      <c r="EB155" s="110">
        <f t="shared" si="217"/>
        <v>4.0705363234194785</v>
      </c>
      <c r="EC155" s="110">
        <f t="shared" si="1197"/>
        <v>2.0311637107626899</v>
      </c>
      <c r="ED155" s="110">
        <f t="shared" si="1198"/>
        <v>1.8081458776238697</v>
      </c>
      <c r="EE155" s="110">
        <f t="shared" si="1104"/>
        <v>1.022481768008644</v>
      </c>
      <c r="EG155" s="110">
        <f t="shared" si="1199"/>
        <v>6.3474023475859669</v>
      </c>
      <c r="EH155" s="110">
        <f t="shared" si="219"/>
        <v>4.0705363234194785</v>
      </c>
      <c r="EI155" s="110">
        <f t="shared" si="1200"/>
        <v>1.5593528329588258</v>
      </c>
      <c r="EJ155" s="110">
        <f t="shared" si="1201"/>
        <v>1.7014179278548895</v>
      </c>
      <c r="EK155" s="110">
        <f>IF(SeilBeregnet=0,"-",EK$7*(EK$4*EM:EM+EK$6)*EP:EP*PropF+ErfaringsF+Dyp_F)</f>
        <v>1.0013925568893549</v>
      </c>
      <c r="EM155" s="110">
        <f>IF(SeilBeregnet=0,EM154,(EN:EN*EO:EO)^EM$3)</f>
        <v>2.0138592204686638</v>
      </c>
      <c r="EN155" s="110">
        <f t="shared" si="220"/>
        <v>4.0705363234194785</v>
      </c>
      <c r="EO155" s="110">
        <f t="shared" si="1202"/>
        <v>0.9963377397059312</v>
      </c>
      <c r="EP155" s="110">
        <f t="shared" si="1203"/>
        <v>1.7036974657315185</v>
      </c>
      <c r="EQ155" s="110">
        <f>IF(SeilBeregnet=0,"-",EQ$7*(ES:ES+EQ$6)*EV:EV*PropF+ErfaringsF+Dyp_F)</f>
        <v>0.93888815814926219</v>
      </c>
      <c r="ES155" s="110">
        <f>(ET:ET*EU:EU)^ES$3</f>
        <v>2.0139255950770751</v>
      </c>
      <c r="ET155" s="110">
        <f t="shared" si="221"/>
        <v>4.0708046487365293</v>
      </c>
      <c r="EU155" s="110">
        <f t="shared" si="1204"/>
        <v>0.9963377397059312</v>
      </c>
      <c r="EV155" s="110">
        <f t="shared" si="1205"/>
        <v>1.7036974657315185</v>
      </c>
      <c r="EW155" s="110">
        <f>IF(SeilBeregnet=0,"-",EW$7*(EY:EY+EW$6)*FB:FB*PropF+ErfaringsF+Dyp_F)</f>
        <v>0.98969296407662111</v>
      </c>
      <c r="EX155" s="144">
        <f t="shared" si="1246"/>
        <v>-5.0855371200110415</v>
      </c>
      <c r="EY155" s="110">
        <f>(EZ:EZ*FA:FA)^EY$3</f>
        <v>4.0410425545210211</v>
      </c>
      <c r="EZ155" s="136">
        <f t="shared" si="1206"/>
        <v>4.0708046487365293</v>
      </c>
      <c r="FA155" s="136">
        <f t="shared" si="1207"/>
        <v>0.99268889156232398</v>
      </c>
      <c r="FB155" s="110">
        <f t="shared" si="1208"/>
        <v>0.95805949060290141</v>
      </c>
      <c r="FC155" s="110">
        <f>IF(SeilBeregnet=0,"-",FC$7*(FE:FE+FC$6)*FI:FI*PropF+ErfaringsF+Dyp_F)</f>
        <v>1.0303540685157915</v>
      </c>
      <c r="FD155" s="144">
        <f t="shared" si="1247"/>
        <v>-1.0194266760940041</v>
      </c>
      <c r="FE155" s="110">
        <f>(FF:FF+FG:FG+FH:FH)^FE$3+FE$7</f>
        <v>6.308182548602022</v>
      </c>
      <c r="FF155" s="136">
        <f t="shared" si="1209"/>
        <v>4.0708046487365293</v>
      </c>
      <c r="FG155" s="136">
        <f t="shared" si="1210"/>
        <v>1.0103812344033143</v>
      </c>
      <c r="FH155" s="136">
        <f t="shared" si="1211"/>
        <v>1.7269966654621782</v>
      </c>
      <c r="FI155" s="110">
        <f t="shared" si="1212"/>
        <v>1.7014179278548895</v>
      </c>
      <c r="FJ155" s="110">
        <f>IF(SeilBeregnet=0,"-",FJ$7*(FL:FL+FJ$6)*FO:FO*PropF+ErfaringsF+Dyp_F)</f>
        <v>0.97588880550106583</v>
      </c>
      <c r="FK155" s="144">
        <f t="shared" si="1248"/>
        <v>-6.4659529775665696</v>
      </c>
      <c r="FL155" s="110">
        <f>(FM:FM*FN:FN)^FL$3</f>
        <v>7.0302660541159199</v>
      </c>
      <c r="FM155" s="136">
        <f t="shared" si="1213"/>
        <v>4.0708046487365293</v>
      </c>
      <c r="FN155" s="136">
        <f t="shared" si="1214"/>
        <v>1.7269966654621782</v>
      </c>
      <c r="FO155" s="110">
        <f t="shared" si="1215"/>
        <v>1.7014179278548895</v>
      </c>
      <c r="FQ155">
        <v>0.95</v>
      </c>
      <c r="FR155" s="64">
        <f t="shared" si="1249"/>
        <v>1.2236885423769668</v>
      </c>
      <c r="FS155" s="479"/>
      <c r="FT155" s="18"/>
      <c r="FU155" s="481"/>
      <c r="FV155" s="504"/>
      <c r="FW155" s="18"/>
      <c r="FX155" s="18"/>
      <c r="FY155" s="18"/>
      <c r="FZ155" s="18"/>
      <c r="GB155" s="18"/>
      <c r="GC155" s="481"/>
      <c r="GD155" s="8"/>
      <c r="GE155" s="8"/>
      <c r="GF155" s="8"/>
      <c r="GG155" s="8"/>
      <c r="GI155" s="18"/>
      <c r="GJ155" s="18"/>
      <c r="GK155" s="18"/>
      <c r="GL155" s="18"/>
      <c r="GM155" s="18"/>
      <c r="GN155" s="18"/>
      <c r="GO155" s="18"/>
      <c r="GP155" s="18"/>
    </row>
    <row r="156" spans="1:198" ht="15.6" x14ac:dyDescent="0.3">
      <c r="A156" s="62" t="s">
        <v>125</v>
      </c>
      <c r="B156" s="223"/>
      <c r="C156" s="63" t="s">
        <v>22</v>
      </c>
      <c r="D156" s="63"/>
      <c r="E156" s="63"/>
      <c r="F156" s="63"/>
      <c r="G156" s="56"/>
      <c r="H156" s="209">
        <f t="shared" si="1256"/>
        <v>98.500000000000014</v>
      </c>
      <c r="I156" s="65">
        <f t="shared" si="1257"/>
        <v>4</v>
      </c>
      <c r="J156" s="228">
        <f t="shared" si="1258"/>
        <v>84.5</v>
      </c>
      <c r="K156" s="119">
        <f t="shared" si="1259"/>
        <v>1.7843511130864533</v>
      </c>
      <c r="L156" s="119">
        <f t="shared" si="1260"/>
        <v>1.8257682291000368</v>
      </c>
      <c r="M156" s="95">
        <f t="shared" si="1261"/>
        <v>0.77147928994082859</v>
      </c>
      <c r="N156" s="265">
        <f t="shared" si="1262"/>
        <v>1.0022201417492413</v>
      </c>
      <c r="O156" s="147"/>
      <c r="P156" s="147"/>
      <c r="Q156" s="147"/>
      <c r="R156" s="169">
        <v>18.600000000000001</v>
      </c>
      <c r="S156" s="147"/>
      <c r="T156" s="169">
        <v>12.4</v>
      </c>
      <c r="U156" s="169">
        <v>37.200000000000003</v>
      </c>
      <c r="V156" s="148"/>
      <c r="W156" s="148"/>
      <c r="X156" s="148"/>
      <c r="Y156" s="169">
        <v>16.3</v>
      </c>
      <c r="Z156" s="147"/>
      <c r="AA156" s="147"/>
      <c r="AB156" s="147"/>
      <c r="AC156" s="147"/>
      <c r="AD156" s="147"/>
      <c r="AE156" s="260">
        <f t="shared" ref="AE156" si="1286">AE155</f>
        <v>8.5299999999999994</v>
      </c>
      <c r="AF156" s="375">
        <f t="shared" si="1264"/>
        <v>0</v>
      </c>
      <c r="AG156" s="377"/>
      <c r="AH156" s="375">
        <f t="shared" si="1264"/>
        <v>0</v>
      </c>
      <c r="AI156" s="377"/>
      <c r="AJ156" s="295" t="str">
        <f t="shared" ref="AJ156" si="1287" xml:space="preserve"> AJ155</f>
        <v>Lystb</v>
      </c>
      <c r="AK156" s="47">
        <f>VLOOKUP(AJ156,Skrogform!$1:$1048576,3,FALSE)</f>
        <v>0.98</v>
      </c>
      <c r="AL156" s="66">
        <f t="shared" ref="AL156:AT156" si="1288">AL155</f>
        <v>8.5299999999999994</v>
      </c>
      <c r="AM156" s="66">
        <f t="shared" si="1288"/>
        <v>8.3800000000000008</v>
      </c>
      <c r="AN156" s="66">
        <f t="shared" si="1288"/>
        <v>2.86</v>
      </c>
      <c r="AO156" s="66">
        <f t="shared" si="1288"/>
        <v>1.8</v>
      </c>
      <c r="AP156" s="66">
        <f t="shared" si="1288"/>
        <v>9</v>
      </c>
      <c r="AQ156" s="66">
        <f t="shared" si="1288"/>
        <v>5</v>
      </c>
      <c r="AR156" s="66">
        <f t="shared" si="1288"/>
        <v>0.5</v>
      </c>
      <c r="AS156" s="284">
        <f t="shared" si="1288"/>
        <v>0</v>
      </c>
      <c r="AT156" s="284">
        <f t="shared" si="1288"/>
        <v>0</v>
      </c>
      <c r="AU156" s="284">
        <f t="shared" ref="AU156:AV156" si="1289">AU155</f>
        <v>100</v>
      </c>
      <c r="AV156" s="284">
        <f t="shared" si="1289"/>
        <v>100</v>
      </c>
      <c r="AW156" s="284"/>
      <c r="AX156" s="284">
        <f t="shared" si="1268"/>
        <v>0</v>
      </c>
      <c r="AY156" s="68"/>
      <c r="AZ156" s="68"/>
      <c r="BA156" s="289"/>
      <c r="BB156" s="68"/>
      <c r="BC156" s="179"/>
      <c r="BD156" s="68"/>
      <c r="BE156" s="68"/>
      <c r="BF156" s="67" t="str">
        <f t="shared" ref="BF156:BH156" si="1290" xml:space="preserve"> BF155</f>
        <v>Seilrett</v>
      </c>
      <c r="BG156" s="295">
        <f t="shared" si="1290"/>
        <v>3</v>
      </c>
      <c r="BH156" s="295">
        <f t="shared" si="1290"/>
        <v>0</v>
      </c>
      <c r="BI156" s="47">
        <f t="shared" si="1095"/>
        <v>1</v>
      </c>
      <c r="BJ156" s="61">
        <f t="shared" ref="BJ156:BJ162" si="1291">BJ155</f>
        <v>0</v>
      </c>
      <c r="BK156" s="61"/>
      <c r="BM156" s="51">
        <f t="shared" si="1270"/>
        <v>0</v>
      </c>
      <c r="BN156" s="51">
        <f t="shared" si="1270"/>
        <v>0</v>
      </c>
      <c r="BO156" s="51">
        <f t="shared" si="1270"/>
        <v>0</v>
      </c>
      <c r="BP156" s="51">
        <f t="shared" si="1270"/>
        <v>18.600000000000001</v>
      </c>
      <c r="BQ156" s="51">
        <f t="shared" si="1270"/>
        <v>0</v>
      </c>
      <c r="BR156" s="51">
        <f t="shared" si="1270"/>
        <v>12.4</v>
      </c>
      <c r="BS156" s="52">
        <f t="shared" si="1271"/>
        <v>-3.7199999999999998</v>
      </c>
      <c r="BT156" s="88">
        <f t="shared" si="1272"/>
        <v>29.760000000000005</v>
      </c>
      <c r="BU156" s="88">
        <f t="shared" si="1272"/>
        <v>0</v>
      </c>
      <c r="BV156" s="88">
        <f t="shared" si="1272"/>
        <v>0</v>
      </c>
      <c r="BW156" s="88">
        <f t="shared" si="1272"/>
        <v>0</v>
      </c>
      <c r="BX156" s="88">
        <f t="shared" si="1272"/>
        <v>8.15</v>
      </c>
      <c r="BY156" s="88">
        <f t="shared" si="1272"/>
        <v>0</v>
      </c>
      <c r="BZ156" s="88">
        <f t="shared" si="1272"/>
        <v>0</v>
      </c>
      <c r="CA156" s="88">
        <f t="shared" si="1272"/>
        <v>0</v>
      </c>
      <c r="CB156" s="88">
        <f t="shared" si="1272"/>
        <v>0</v>
      </c>
      <c r="CC156" s="88">
        <f t="shared" si="1272"/>
        <v>0</v>
      </c>
      <c r="CD156" s="103">
        <f t="shared" si="1273"/>
        <v>65.190000000000012</v>
      </c>
      <c r="CE156" s="52"/>
      <c r="CF156" s="107">
        <f t="shared" si="1274"/>
        <v>84.5</v>
      </c>
      <c r="CG156" s="104">
        <f t="shared" si="1275"/>
        <v>0.77147928994082859</v>
      </c>
      <c r="CH156" s="53">
        <f t="shared" si="1276"/>
        <v>1.2032854677291651</v>
      </c>
      <c r="CI156" s="119">
        <f t="shared" si="1277"/>
        <v>1.7843511130864533</v>
      </c>
      <c r="CJ156" s="53">
        <f t="shared" si="1278"/>
        <v>1.8257682291000368</v>
      </c>
      <c r="CK156" s="209"/>
      <c r="CL156" s="209">
        <f t="shared" si="1279"/>
        <v>98.500000000000014</v>
      </c>
      <c r="CM156" s="110">
        <f t="shared" si="1189"/>
        <v>0.98658066377475806</v>
      </c>
      <c r="CN156" s="64">
        <f>IF(SeilBeregnet=0,"-",(SeilBeregnet)^(1/2)*StHfaktor/(Depl+DeplTillegg/1000+Vann/1000+Diesel/1000*0.84)^(1/3))</f>
        <v>3.8364035487574735</v>
      </c>
      <c r="CO156" s="64">
        <f t="shared" si="1140"/>
        <v>1.719387596295177</v>
      </c>
      <c r="CP156" s="64">
        <f t="shared" si="1141"/>
        <v>1.7014179278548895</v>
      </c>
      <c r="CQ156" s="110">
        <f t="shared" si="1142"/>
        <v>1.0022201417492413</v>
      </c>
      <c r="CR156" s="172"/>
      <c r="CS156" s="163"/>
      <c r="CT156" s="172"/>
      <c r="CU156" s="163"/>
      <c r="CV156" s="195" t="s">
        <v>145</v>
      </c>
      <c r="CW156" s="64">
        <v>0.88</v>
      </c>
      <c r="CX156" s="64">
        <v>0.87</v>
      </c>
      <c r="CY156" s="64">
        <v>0.92</v>
      </c>
      <c r="CZ156" s="154">
        <v>0.96</v>
      </c>
      <c r="DA156" s="64">
        <f t="shared" si="1096"/>
        <v>2.2101391924363338</v>
      </c>
      <c r="DB156" s="49">
        <f t="shared" si="1097"/>
        <v>14.705882352941178</v>
      </c>
      <c r="DC156" s="50">
        <f t="shared" si="1098"/>
        <v>0</v>
      </c>
      <c r="DE156" s="110">
        <f>IF(SeilBeregnet=0,"-",DE$7*(DG:DG+DE$6)*DL:DL*PropF+ErfaringsF+Dyp_F)</f>
        <v>0.96384638573335946</v>
      </c>
      <c r="DF156" s="144">
        <f t="shared" si="1161"/>
        <v>-4.2868577302108246</v>
      </c>
      <c r="DG156" s="110">
        <f t="shared" si="1099"/>
        <v>5.6088709104788359</v>
      </c>
      <c r="DH156" s="136">
        <f t="shared" si="1280"/>
        <v>3.8818742450166575</v>
      </c>
      <c r="DI156" s="136">
        <f t="shared" si="1281"/>
        <v>0</v>
      </c>
      <c r="DJ156" s="136">
        <f t="shared" si="1282"/>
        <v>0</v>
      </c>
      <c r="DK156" s="136">
        <f t="shared" si="1283"/>
        <v>1.7269966654621782</v>
      </c>
      <c r="DL156" s="110">
        <f t="shared" si="1284"/>
        <v>1.7014179278548895</v>
      </c>
      <c r="DM156" s="136">
        <f t="shared" si="1285"/>
        <v>2.2968452802704382</v>
      </c>
      <c r="DO156" s="110">
        <f t="shared" si="467"/>
        <v>1.0067149630354677</v>
      </c>
      <c r="DP156" s="110">
        <f t="shared" si="1100"/>
        <v>1.0155353175799908</v>
      </c>
      <c r="DQ156" s="125">
        <f>DP156-DO156</f>
        <v>8.8203545445231235E-3</v>
      </c>
      <c r="DR156" s="110">
        <f t="shared" si="1101"/>
        <v>0.9988112133312167</v>
      </c>
      <c r="DS156" s="125">
        <f t="shared" si="1162"/>
        <v>-7.9037497042510063E-3</v>
      </c>
      <c r="DT156" s="110">
        <f t="shared" si="1102"/>
        <v>0.99599287042513573</v>
      </c>
      <c r="DU156" s="125">
        <f t="shared" si="1163"/>
        <v>-1.0722092610331968E-2</v>
      </c>
      <c r="DV156" s="110">
        <f t="shared" si="214"/>
        <v>3.8816183729649567</v>
      </c>
      <c r="DW156" s="110">
        <f t="shared" si="215"/>
        <v>2.0310341765391291</v>
      </c>
      <c r="DX156" s="110">
        <f t="shared" si="1196"/>
        <v>1.5593528329588258</v>
      </c>
      <c r="DZ156" s="110">
        <f t="shared" si="1103"/>
        <v>0.98625009573945654</v>
      </c>
      <c r="EB156" s="110">
        <f t="shared" si="217"/>
        <v>3.8816183729649567</v>
      </c>
      <c r="EC156" s="110">
        <f t="shared" si="1197"/>
        <v>2.0311637107626899</v>
      </c>
      <c r="ED156" s="110">
        <f t="shared" si="1198"/>
        <v>1.8081458776238697</v>
      </c>
      <c r="EE156" s="110">
        <f t="shared" si="1104"/>
        <v>0.98639717223671697</v>
      </c>
      <c r="EG156" s="110">
        <f t="shared" si="1199"/>
        <v>6.0528126063479331</v>
      </c>
      <c r="EH156" s="110">
        <f t="shared" si="219"/>
        <v>3.8816183729649567</v>
      </c>
      <c r="EI156" s="110">
        <f t="shared" si="1200"/>
        <v>1.5593528329588258</v>
      </c>
      <c r="EJ156" s="110">
        <f t="shared" si="1201"/>
        <v>1.7014179278548895</v>
      </c>
      <c r="EK156" s="110">
        <f>IF(SeilBeregnet=0,"-",EK$7*(EK$4*EM:EM+EK$6)*EP:EP*PropF+ErfaringsF+Dyp_F)</f>
        <v>0.97011242165526768</v>
      </c>
      <c r="EM156" s="110">
        <f>IF(SeilBeregnet=0,EM155,(EN:EN*EO:EO)^EM$3)</f>
        <v>1.966571350376314</v>
      </c>
      <c r="EN156" s="110">
        <f t="shared" si="220"/>
        <v>3.8816183729649567</v>
      </c>
      <c r="EO156" s="110">
        <f t="shared" si="1202"/>
        <v>0.9963377397059312</v>
      </c>
      <c r="EP156" s="110">
        <f t="shared" si="1203"/>
        <v>1.7036974657315185</v>
      </c>
      <c r="EQ156" s="110">
        <f>IF(SeilBeregnet=0,"-",EQ$7*(ES:ES+EQ$6)*EV:EV*PropF+ErfaringsF+Dyp_F)</f>
        <v>0.91684191936427106</v>
      </c>
      <c r="ES156" s="110">
        <f>(ET:ET*EU:EU)^ES$3</f>
        <v>1.9666361664279859</v>
      </c>
      <c r="ET156" s="110">
        <f t="shared" si="221"/>
        <v>3.8818742450166575</v>
      </c>
      <c r="EU156" s="110">
        <f t="shared" si="1204"/>
        <v>0.9963377397059312</v>
      </c>
      <c r="EV156" s="110">
        <f t="shared" si="1205"/>
        <v>1.7036974657315185</v>
      </c>
      <c r="EW156" s="110">
        <f>IF(SeilBeregnet=0,"-",EW$7*(EY:EY+EW$6)*FB:FB*PropF+ErfaringsF+Dyp_F)</f>
        <v>0.95896713555773816</v>
      </c>
      <c r="EX156" s="144">
        <f t="shared" si="1246"/>
        <v>-4.7747827477729547</v>
      </c>
      <c r="EY156" s="110">
        <f>(EZ:EZ*FA:FA)^EY$3</f>
        <v>3.8534934414699191</v>
      </c>
      <c r="EZ156" s="136">
        <f t="shared" si="1206"/>
        <v>3.8818742450166575</v>
      </c>
      <c r="FA156" s="136">
        <f t="shared" si="1207"/>
        <v>0.99268889156232398</v>
      </c>
      <c r="FB156" s="110">
        <f t="shared" si="1208"/>
        <v>0.95805949060290141</v>
      </c>
      <c r="FC156" s="110">
        <f>IF(SeilBeregnet=0,"-",FC$7*(FE:FE+FC$6)*FI:FI*PropF+ErfaringsF+Dyp_F)</f>
        <v>0.99183560887122968</v>
      </c>
      <c r="FD156" s="144">
        <f t="shared" si="1247"/>
        <v>-1.4879354164238023</v>
      </c>
      <c r="FE156" s="110">
        <f>(FF:FF+FG:FG+FH:FH)^FE$3+FE$7</f>
        <v>6.0723592696403852</v>
      </c>
      <c r="FF156" s="136">
        <f t="shared" si="1209"/>
        <v>3.8818742450166575</v>
      </c>
      <c r="FG156" s="136">
        <f t="shared" si="1210"/>
        <v>0.96348835916154907</v>
      </c>
      <c r="FH156" s="136">
        <f t="shared" si="1211"/>
        <v>1.7269966654621782</v>
      </c>
      <c r="FI156" s="110">
        <f t="shared" si="1212"/>
        <v>1.7014179278548895</v>
      </c>
      <c r="FJ156" s="110">
        <f>IF(SeilBeregnet=0,"-",FJ$7*(FL:FL+FJ$6)*FO:FO*PropF+ErfaringsF+Dyp_F)</f>
        <v>0.94702140351549646</v>
      </c>
      <c r="FK156" s="144">
        <f t="shared" si="1248"/>
        <v>-5.969355951997124</v>
      </c>
      <c r="FL156" s="110">
        <f>(FM:FM*FN:FN)^FL$3</f>
        <v>6.7039838768872784</v>
      </c>
      <c r="FM156" s="136">
        <f t="shared" si="1213"/>
        <v>3.8818742450166575</v>
      </c>
      <c r="FN156" s="136">
        <f t="shared" si="1214"/>
        <v>1.7269966654621782</v>
      </c>
      <c r="FO156" s="110">
        <f t="shared" si="1215"/>
        <v>1.7014179278548895</v>
      </c>
      <c r="FQ156">
        <v>0.95</v>
      </c>
      <c r="FR156" s="64">
        <f t="shared" si="1249"/>
        <v>1.1951284872326984</v>
      </c>
      <c r="FS156" s="479"/>
      <c r="FT156" s="18"/>
      <c r="FU156" s="481"/>
      <c r="FV156" s="504"/>
      <c r="FW156" s="18"/>
      <c r="FX156" s="18"/>
      <c r="FY156" s="18"/>
      <c r="FZ156" s="18"/>
      <c r="GB156" s="18"/>
      <c r="GC156" s="481"/>
      <c r="GD156" s="8"/>
      <c r="GE156" s="8"/>
      <c r="GF156" s="8"/>
      <c r="GG156" s="8"/>
      <c r="GI156" s="18"/>
      <c r="GJ156" s="18"/>
      <c r="GK156" s="18"/>
      <c r="GL156" s="18"/>
      <c r="GM156" s="18"/>
      <c r="GN156" s="18"/>
      <c r="GO156" s="18"/>
      <c r="GP156" s="18"/>
    </row>
    <row r="157" spans="1:198" ht="15.6" x14ac:dyDescent="0.3">
      <c r="A157" s="62" t="s">
        <v>32</v>
      </c>
      <c r="B157" s="223"/>
      <c r="C157" s="63" t="s">
        <v>22</v>
      </c>
      <c r="D157" s="63"/>
      <c r="E157" s="63"/>
      <c r="F157" s="63"/>
      <c r="G157" s="56"/>
      <c r="H157" s="209">
        <f t="shared" si="1256"/>
        <v>98</v>
      </c>
      <c r="I157" s="65">
        <f t="shared" si="1257"/>
        <v>3</v>
      </c>
      <c r="J157" s="228">
        <f t="shared" si="1258"/>
        <v>74.7</v>
      </c>
      <c r="K157" s="119">
        <f t="shared" si="1259"/>
        <v>1.5774086171308646</v>
      </c>
      <c r="L157" s="119">
        <f t="shared" si="1260"/>
        <v>1.6140223279736416</v>
      </c>
      <c r="M157" s="95">
        <f t="shared" si="1261"/>
        <v>0.85060240963855427</v>
      </c>
      <c r="N157" s="265">
        <f t="shared" si="1262"/>
        <v>1.0022201417492413</v>
      </c>
      <c r="O157" s="147"/>
      <c r="P157" s="147"/>
      <c r="Q157" s="169">
        <v>25.1</v>
      </c>
      <c r="R157" s="147"/>
      <c r="S157" s="147"/>
      <c r="T157" s="169">
        <v>12.4</v>
      </c>
      <c r="U157" s="169">
        <v>37.200000000000003</v>
      </c>
      <c r="V157" s="148"/>
      <c r="W157" s="148"/>
      <c r="X157" s="148"/>
      <c r="Y157" s="147"/>
      <c r="Z157" s="147"/>
      <c r="AA157" s="147"/>
      <c r="AB157" s="147"/>
      <c r="AC157" s="147"/>
      <c r="AD157" s="147"/>
      <c r="AE157" s="260">
        <f t="shared" ref="AE157" si="1292">AE156</f>
        <v>8.5299999999999994</v>
      </c>
      <c r="AF157" s="375">
        <f t="shared" si="1264"/>
        <v>0</v>
      </c>
      <c r="AG157" s="377"/>
      <c r="AH157" s="375">
        <f t="shared" si="1264"/>
        <v>0</v>
      </c>
      <c r="AI157" s="377"/>
      <c r="AJ157" s="295" t="str">
        <f t="shared" ref="AJ157" si="1293" xml:space="preserve"> AJ156</f>
        <v>Lystb</v>
      </c>
      <c r="AK157" s="47">
        <f>VLOOKUP(AJ157,Skrogform!$1:$1048576,3,FALSE)</f>
        <v>0.98</v>
      </c>
      <c r="AL157" s="66">
        <f t="shared" ref="AL157:AT157" si="1294">AL156</f>
        <v>8.5299999999999994</v>
      </c>
      <c r="AM157" s="66">
        <f t="shared" si="1294"/>
        <v>8.3800000000000008</v>
      </c>
      <c r="AN157" s="66">
        <f t="shared" si="1294"/>
        <v>2.86</v>
      </c>
      <c r="AO157" s="66">
        <f t="shared" si="1294"/>
        <v>1.8</v>
      </c>
      <c r="AP157" s="66">
        <f t="shared" si="1294"/>
        <v>9</v>
      </c>
      <c r="AQ157" s="66">
        <f t="shared" si="1294"/>
        <v>5</v>
      </c>
      <c r="AR157" s="66">
        <f t="shared" si="1294"/>
        <v>0.5</v>
      </c>
      <c r="AS157" s="284">
        <f t="shared" si="1294"/>
        <v>0</v>
      </c>
      <c r="AT157" s="284">
        <f t="shared" si="1294"/>
        <v>0</v>
      </c>
      <c r="AU157" s="284">
        <f t="shared" ref="AU157:AV157" si="1295">AU156</f>
        <v>100</v>
      </c>
      <c r="AV157" s="284">
        <f t="shared" si="1295"/>
        <v>100</v>
      </c>
      <c r="AW157" s="284"/>
      <c r="AX157" s="284">
        <f t="shared" si="1268"/>
        <v>0</v>
      </c>
      <c r="AY157" s="68"/>
      <c r="AZ157" s="68"/>
      <c r="BA157" s="289"/>
      <c r="BB157" s="68"/>
      <c r="BC157" s="179"/>
      <c r="BD157" s="68"/>
      <c r="BE157" s="68"/>
      <c r="BF157" s="67" t="str">
        <f t="shared" ref="BF157:BH157" si="1296" xml:space="preserve"> BF156</f>
        <v>Seilrett</v>
      </c>
      <c r="BG157" s="295">
        <f t="shared" si="1296"/>
        <v>3</v>
      </c>
      <c r="BH157" s="295">
        <f t="shared" si="1296"/>
        <v>0</v>
      </c>
      <c r="BI157" s="47">
        <f t="shared" si="1095"/>
        <v>1</v>
      </c>
      <c r="BJ157" s="61">
        <f t="shared" si="1291"/>
        <v>0</v>
      </c>
      <c r="BK157" s="61"/>
      <c r="BM157" s="51">
        <f t="shared" si="1270"/>
        <v>0</v>
      </c>
      <c r="BN157" s="51">
        <f t="shared" si="1270"/>
        <v>0</v>
      </c>
      <c r="BO157" s="51">
        <f t="shared" si="1270"/>
        <v>25.1</v>
      </c>
      <c r="BP157" s="51">
        <f t="shared" si="1270"/>
        <v>0</v>
      </c>
      <c r="BQ157" s="51">
        <f t="shared" si="1270"/>
        <v>0</v>
      </c>
      <c r="BR157" s="51">
        <f t="shared" si="1270"/>
        <v>12.4</v>
      </c>
      <c r="BS157" s="52">
        <f t="shared" si="1271"/>
        <v>-3.7199999999999998</v>
      </c>
      <c r="BT157" s="88">
        <f t="shared" si="1272"/>
        <v>29.760000000000005</v>
      </c>
      <c r="BU157" s="88">
        <f t="shared" si="1272"/>
        <v>0</v>
      </c>
      <c r="BV157" s="88">
        <f t="shared" si="1272"/>
        <v>0</v>
      </c>
      <c r="BW157" s="88">
        <f t="shared" si="1272"/>
        <v>0</v>
      </c>
      <c r="BX157" s="88">
        <f t="shared" si="1272"/>
        <v>0</v>
      </c>
      <c r="BY157" s="88">
        <f t="shared" si="1272"/>
        <v>0</v>
      </c>
      <c r="BZ157" s="88">
        <f t="shared" si="1272"/>
        <v>0</v>
      </c>
      <c r="CA157" s="88">
        <f t="shared" si="1272"/>
        <v>0</v>
      </c>
      <c r="CB157" s="88">
        <f t="shared" si="1272"/>
        <v>0</v>
      </c>
      <c r="CC157" s="88">
        <f t="shared" si="1272"/>
        <v>0</v>
      </c>
      <c r="CD157" s="103">
        <f t="shared" si="1273"/>
        <v>63.540000000000006</v>
      </c>
      <c r="CE157" s="52"/>
      <c r="CF157" s="107">
        <f t="shared" si="1274"/>
        <v>74.7</v>
      </c>
      <c r="CG157" s="104">
        <f t="shared" si="1275"/>
        <v>0.85060240963855427</v>
      </c>
      <c r="CH157" s="53">
        <f t="shared" si="1276"/>
        <v>1.0637328336019956</v>
      </c>
      <c r="CI157" s="119">
        <f t="shared" si="1277"/>
        <v>1.5774086171308646</v>
      </c>
      <c r="CJ157" s="53">
        <f t="shared" si="1278"/>
        <v>1.6140223279736416</v>
      </c>
      <c r="CK157" s="209"/>
      <c r="CL157" s="209">
        <f t="shared" si="1279"/>
        <v>98</v>
      </c>
      <c r="CM157" s="110">
        <f t="shared" si="1189"/>
        <v>0.97790388623933555</v>
      </c>
      <c r="CN157" s="64">
        <f>IF(SeilBeregnet=0,"-",(SeilBeregnet)^(1/2)*StHfaktor/(Depl+DeplTillegg/1000+Vann/1000+Diesel/1000*0.84)^(1/3))</f>
        <v>3.7875414885439165</v>
      </c>
      <c r="CO157" s="64">
        <f t="shared" si="1140"/>
        <v>1.719387596295177</v>
      </c>
      <c r="CP157" s="64">
        <f t="shared" si="1141"/>
        <v>1.7014179278548895</v>
      </c>
      <c r="CQ157" s="110">
        <f t="shared" si="1142"/>
        <v>1.0022201417492413</v>
      </c>
      <c r="CR157" s="172" t="str">
        <f t="shared" ref="CR157:CR188" si="1297">IF(CS157=0,"-",IF(CH157="TBF","-",CR$7*CS157))</f>
        <v>-</v>
      </c>
      <c r="CS157" s="162"/>
      <c r="CT157" s="172" t="str">
        <f t="shared" ref="CT157:CT162" si="1298">IF(CU157=0,"-",IF(CL157="TBF","-",CT$7*CU157))</f>
        <v>-</v>
      </c>
      <c r="CU157" s="164"/>
      <c r="CV157" s="195" t="s">
        <v>145</v>
      </c>
      <c r="CW157" s="64">
        <v>0.88</v>
      </c>
      <c r="CX157" s="64">
        <v>0.87</v>
      </c>
      <c r="CY157" s="64">
        <v>0.93</v>
      </c>
      <c r="CZ157" s="154">
        <v>0.91</v>
      </c>
      <c r="DA157" s="64">
        <f t="shared" si="1096"/>
        <v>2.2101391924363338</v>
      </c>
      <c r="DB157" s="49">
        <f t="shared" si="1097"/>
        <v>14.705882352941178</v>
      </c>
      <c r="DC157" s="50">
        <f t="shared" si="1098"/>
        <v>0</v>
      </c>
      <c r="DE157" s="110">
        <f>IF(SeilBeregnet=0,"-",DE$7*(DG:DG+DE$6)*DL:DL*PropF+ErfaringsF+Dyp_F)</f>
        <v>0.95535025217077474</v>
      </c>
      <c r="DF157" s="144" t="str">
        <f t="shared" si="1161"/>
        <v>-</v>
      </c>
      <c r="DG157" s="110">
        <f t="shared" si="1099"/>
        <v>5.5594297162220707</v>
      </c>
      <c r="DH157" s="136">
        <f t="shared" si="1280"/>
        <v>3.8324330507598927</v>
      </c>
      <c r="DI157" s="136">
        <f t="shared" si="1281"/>
        <v>0</v>
      </c>
      <c r="DJ157" s="136">
        <f t="shared" si="1282"/>
        <v>0</v>
      </c>
      <c r="DK157" s="136">
        <f t="shared" si="1283"/>
        <v>1.7269966654621782</v>
      </c>
      <c r="DL157" s="110">
        <f t="shared" si="1284"/>
        <v>1.7014179278548895</v>
      </c>
      <c r="DM157" s="136">
        <f t="shared" si="1285"/>
        <v>2.2968452802704382</v>
      </c>
      <c r="DO157" s="110">
        <f t="shared" si="467"/>
        <v>0.99786110840748532</v>
      </c>
      <c r="DP157" s="110">
        <f t="shared" si="1100"/>
        <v>1.0051140747599947</v>
      </c>
      <c r="DR157" s="110">
        <f t="shared" si="1101"/>
        <v>0.99036844119128531</v>
      </c>
      <c r="DS157" s="125" t="str">
        <f t="shared" si="1162"/>
        <v>-</v>
      </c>
      <c r="DT157" s="110">
        <f t="shared" si="1102"/>
        <v>0.9861808267300024</v>
      </c>
      <c r="DU157" s="125" t="str">
        <f t="shared" si="1163"/>
        <v>-</v>
      </c>
      <c r="DV157" s="110">
        <f t="shared" si="214"/>
        <v>3.8321804376029971</v>
      </c>
      <c r="DW157" s="110">
        <f t="shared" si="215"/>
        <v>2.0310341765391291</v>
      </c>
      <c r="DX157" s="110">
        <f t="shared" si="1196"/>
        <v>1.5593528329588258</v>
      </c>
      <c r="DZ157" s="110">
        <f t="shared" si="1103"/>
        <v>0.97740959968924312</v>
      </c>
      <c r="EB157" s="110">
        <f t="shared" si="217"/>
        <v>3.8321804376029971</v>
      </c>
      <c r="EC157" s="110">
        <f t="shared" si="1197"/>
        <v>2.0311637107626899</v>
      </c>
      <c r="ED157" s="110">
        <f t="shared" si="1198"/>
        <v>1.8081458776238697</v>
      </c>
      <c r="EE157" s="110">
        <f t="shared" si="1104"/>
        <v>0.9769541949598467</v>
      </c>
      <c r="EG157" s="110">
        <f t="shared" si="1199"/>
        <v>5.975721421785626</v>
      </c>
      <c r="EH157" s="110">
        <f t="shared" si="219"/>
        <v>3.8321804376029971</v>
      </c>
      <c r="EI157" s="110">
        <f t="shared" si="1200"/>
        <v>1.5593528329588258</v>
      </c>
      <c r="EJ157" s="110">
        <f t="shared" si="1201"/>
        <v>1.7014179278548895</v>
      </c>
      <c r="EK157" s="110">
        <f>IF(SeilBeregnet=0,"-",EK$7*(EK$4*EM:EM+EK$6)*EP:EP*PropF+ErfaringsF+Dyp_F)</f>
        <v>0.96180176074089163</v>
      </c>
      <c r="EM157" s="110">
        <f>IF(SeilBeregnet=0,EM156,(EN:EN*EO:EO)^EM$3)</f>
        <v>1.9540076753551037</v>
      </c>
      <c r="EN157" s="110">
        <f t="shared" si="220"/>
        <v>3.8321804376029971</v>
      </c>
      <c r="EO157" s="110">
        <f t="shared" si="1202"/>
        <v>0.9963377397059312</v>
      </c>
      <c r="EP157" s="110">
        <f t="shared" si="1203"/>
        <v>1.7036974657315185</v>
      </c>
      <c r="EQ157" s="110">
        <f>IF(SeilBeregnet=0,"-",EQ$7*(ES:ES+EQ$6)*EV:EV*PropF+ErfaringsF+Dyp_F)</f>
        <v>0.91098456569209896</v>
      </c>
      <c r="ES157" s="110">
        <f>(ET:ET*EU:EU)^ES$3</f>
        <v>1.9540720773217188</v>
      </c>
      <c r="ET157" s="110">
        <f t="shared" si="221"/>
        <v>3.8324330507598927</v>
      </c>
      <c r="EU157" s="110">
        <f t="shared" si="1204"/>
        <v>0.9963377397059312</v>
      </c>
      <c r="EV157" s="110">
        <f t="shared" si="1205"/>
        <v>1.7036974657315185</v>
      </c>
      <c r="EW157" s="110">
        <f>IF(SeilBeregnet=0,"-",EW$7*(EY:EY+EW$6)*FB:FB*PropF+ErfaringsF+Dyp_F)</f>
        <v>0.95092649399559703</v>
      </c>
      <c r="EX157" s="144" t="str">
        <f t="shared" si="1246"/>
        <v>-</v>
      </c>
      <c r="EY157" s="110">
        <f>(EZ:EZ*FA:FA)^EY$3</f>
        <v>3.8044137171456538</v>
      </c>
      <c r="EZ157" s="136">
        <f t="shared" si="1206"/>
        <v>3.8324330507598927</v>
      </c>
      <c r="FA157" s="136">
        <f t="shared" si="1207"/>
        <v>0.99268889156232398</v>
      </c>
      <c r="FB157" s="110">
        <f t="shared" si="1208"/>
        <v>0.95805949060290141</v>
      </c>
      <c r="FC157" s="110">
        <f>IF(SeilBeregnet=0,"-",FC$7*(FE:FE+FC$6)*FI:FI*PropF+ErfaringsF+Dyp_F)</f>
        <v>0.98175571379737059</v>
      </c>
      <c r="FD157" s="144" t="str">
        <f t="shared" si="1247"/>
        <v>-</v>
      </c>
      <c r="FE157" s="110">
        <f>(FF:FF+FG:FG+FH:FH)^FE$3+FE$7</f>
        <v>6.0106466796292137</v>
      </c>
      <c r="FF157" s="136">
        <f t="shared" si="1209"/>
        <v>3.8324330507598927</v>
      </c>
      <c r="FG157" s="136">
        <f t="shared" si="1210"/>
        <v>0.95121696340714246</v>
      </c>
      <c r="FH157" s="136">
        <f t="shared" si="1211"/>
        <v>1.7269966654621782</v>
      </c>
      <c r="FI157" s="110">
        <f t="shared" si="1212"/>
        <v>1.7014179278548895</v>
      </c>
      <c r="FJ157" s="110">
        <f>IF(SeilBeregnet=0,"-",FJ$7*(FL:FL+FJ$6)*FO:FO*PropF+ErfaringsF+Dyp_F)</f>
        <v>0.93946709356243641</v>
      </c>
      <c r="FK157" s="144" t="str">
        <f t="shared" si="1248"/>
        <v>-</v>
      </c>
      <c r="FL157" s="110">
        <f>(FM:FM*FN:FN)^FL$3</f>
        <v>6.6185990992693773</v>
      </c>
      <c r="FM157" s="136">
        <f t="shared" si="1213"/>
        <v>3.8324330507598927</v>
      </c>
      <c r="FN157" s="136">
        <f t="shared" si="1214"/>
        <v>1.7269966654621782</v>
      </c>
      <c r="FO157" s="110">
        <f t="shared" si="1215"/>
        <v>1.7014179278548895</v>
      </c>
      <c r="FQ157">
        <v>0.95</v>
      </c>
      <c r="FR157" s="64">
        <f t="shared" si="1249"/>
        <v>1.1876546068695073</v>
      </c>
      <c r="FS157" s="479"/>
      <c r="FT157" s="18"/>
      <c r="FU157" s="481"/>
      <c r="FV157" s="504"/>
      <c r="FW157" s="18"/>
      <c r="FX157" s="18"/>
      <c r="FY157" s="18"/>
      <c r="FZ157" s="18"/>
      <c r="GB157" s="18"/>
      <c r="GC157" s="481"/>
      <c r="GD157" s="8"/>
      <c r="GE157" s="8"/>
      <c r="GF157" s="8"/>
      <c r="GG157" s="8"/>
      <c r="GI157" s="18"/>
      <c r="GJ157" s="18"/>
      <c r="GK157" s="18"/>
      <c r="GL157" s="18"/>
      <c r="GM157" s="18"/>
      <c r="GN157" s="18"/>
      <c r="GO157" s="18"/>
      <c r="GP157" s="18"/>
    </row>
    <row r="158" spans="1:198" ht="15.6" x14ac:dyDescent="0.3">
      <c r="A158" s="62" t="s">
        <v>119</v>
      </c>
      <c r="B158" s="223"/>
      <c r="C158" s="63" t="s">
        <v>22</v>
      </c>
      <c r="D158" s="63"/>
      <c r="E158" s="63"/>
      <c r="F158" s="63"/>
      <c r="G158" s="56"/>
      <c r="H158" s="209">
        <f t="shared" si="1256"/>
        <v>94.5</v>
      </c>
      <c r="I158" s="65">
        <f t="shared" si="1257"/>
        <v>3</v>
      </c>
      <c r="J158" s="228">
        <f t="shared" si="1258"/>
        <v>68.2</v>
      </c>
      <c r="K158" s="119">
        <f t="shared" si="1259"/>
        <v>1.4401508392011375</v>
      </c>
      <c r="L158" s="119">
        <f t="shared" si="1260"/>
        <v>1.47357861804287</v>
      </c>
      <c r="M158" s="95">
        <f t="shared" si="1261"/>
        <v>0.83636363636363642</v>
      </c>
      <c r="N158" s="265">
        <f t="shared" si="1262"/>
        <v>1.0022201417492413</v>
      </c>
      <c r="O158" s="147"/>
      <c r="P158" s="147"/>
      <c r="Q158" s="147"/>
      <c r="R158" s="169">
        <v>18.600000000000001</v>
      </c>
      <c r="S158" s="147"/>
      <c r="T158" s="169">
        <v>12.4</v>
      </c>
      <c r="U158" s="169">
        <v>37.200000000000003</v>
      </c>
      <c r="V158" s="148"/>
      <c r="W158" s="148"/>
      <c r="X158" s="148"/>
      <c r="Y158" s="147"/>
      <c r="Z158" s="147"/>
      <c r="AA158" s="147"/>
      <c r="AB158" s="147"/>
      <c r="AC158" s="147"/>
      <c r="AD158" s="147"/>
      <c r="AE158" s="260">
        <f t="shared" ref="AE158" si="1299">AE157</f>
        <v>8.5299999999999994</v>
      </c>
      <c r="AF158" s="375">
        <f t="shared" si="1264"/>
        <v>0</v>
      </c>
      <c r="AG158" s="377"/>
      <c r="AH158" s="375">
        <f t="shared" si="1264"/>
        <v>0</v>
      </c>
      <c r="AI158" s="377"/>
      <c r="AJ158" s="295" t="str">
        <f t="shared" ref="AJ158" si="1300" xml:space="preserve"> AJ157</f>
        <v>Lystb</v>
      </c>
      <c r="AK158" s="47">
        <f>VLOOKUP(AJ158,Skrogform!$1:$1048576,3,FALSE)</f>
        <v>0.98</v>
      </c>
      <c r="AL158" s="66">
        <f t="shared" ref="AL158:AT158" si="1301">AL157</f>
        <v>8.5299999999999994</v>
      </c>
      <c r="AM158" s="66">
        <f t="shared" si="1301"/>
        <v>8.3800000000000008</v>
      </c>
      <c r="AN158" s="66">
        <f t="shared" si="1301"/>
        <v>2.86</v>
      </c>
      <c r="AO158" s="66">
        <f t="shared" si="1301"/>
        <v>1.8</v>
      </c>
      <c r="AP158" s="66">
        <f t="shared" si="1301"/>
        <v>9</v>
      </c>
      <c r="AQ158" s="66">
        <f t="shared" si="1301"/>
        <v>5</v>
      </c>
      <c r="AR158" s="66">
        <f t="shared" si="1301"/>
        <v>0.5</v>
      </c>
      <c r="AS158" s="284">
        <f t="shared" si="1301"/>
        <v>0</v>
      </c>
      <c r="AT158" s="284">
        <f t="shared" si="1301"/>
        <v>0</v>
      </c>
      <c r="AU158" s="284">
        <f t="shared" ref="AU158:AV158" si="1302">AU157</f>
        <v>100</v>
      </c>
      <c r="AV158" s="284">
        <f t="shared" si="1302"/>
        <v>100</v>
      </c>
      <c r="AW158" s="284"/>
      <c r="AX158" s="284">
        <f t="shared" si="1268"/>
        <v>0</v>
      </c>
      <c r="AY158" s="68"/>
      <c r="AZ158" s="68"/>
      <c r="BA158" s="289"/>
      <c r="BB158" s="68"/>
      <c r="BC158" s="179"/>
      <c r="BD158" s="68"/>
      <c r="BE158" s="68"/>
      <c r="BF158" s="67" t="str">
        <f t="shared" ref="BF158:BH158" si="1303" xml:space="preserve"> BF157</f>
        <v>Seilrett</v>
      </c>
      <c r="BG158" s="295">
        <f t="shared" si="1303"/>
        <v>3</v>
      </c>
      <c r="BH158" s="295">
        <f t="shared" si="1303"/>
        <v>0</v>
      </c>
      <c r="BI158" s="47">
        <f t="shared" si="1095"/>
        <v>1</v>
      </c>
      <c r="BJ158" s="61">
        <f t="shared" si="1291"/>
        <v>0</v>
      </c>
      <c r="BK158" s="61"/>
      <c r="BM158" s="51">
        <f t="shared" si="1270"/>
        <v>0</v>
      </c>
      <c r="BN158" s="51">
        <f t="shared" si="1270"/>
        <v>0</v>
      </c>
      <c r="BO158" s="51">
        <f t="shared" si="1270"/>
        <v>0</v>
      </c>
      <c r="BP158" s="51">
        <f t="shared" si="1270"/>
        <v>18.600000000000001</v>
      </c>
      <c r="BQ158" s="51">
        <f t="shared" si="1270"/>
        <v>0</v>
      </c>
      <c r="BR158" s="51">
        <f t="shared" si="1270"/>
        <v>12.4</v>
      </c>
      <c r="BS158" s="52">
        <f t="shared" si="1271"/>
        <v>-3.7199999999999998</v>
      </c>
      <c r="BT158" s="88">
        <f t="shared" si="1272"/>
        <v>29.760000000000005</v>
      </c>
      <c r="BU158" s="88">
        <f t="shared" si="1272"/>
        <v>0</v>
      </c>
      <c r="BV158" s="88">
        <f t="shared" si="1272"/>
        <v>0</v>
      </c>
      <c r="BW158" s="88">
        <f t="shared" si="1272"/>
        <v>0</v>
      </c>
      <c r="BX158" s="88">
        <f t="shared" si="1272"/>
        <v>0</v>
      </c>
      <c r="BY158" s="88">
        <f t="shared" si="1272"/>
        <v>0</v>
      </c>
      <c r="BZ158" s="88">
        <f t="shared" si="1272"/>
        <v>0</v>
      </c>
      <c r="CA158" s="88">
        <f t="shared" si="1272"/>
        <v>0</v>
      </c>
      <c r="CB158" s="88">
        <f t="shared" si="1272"/>
        <v>0</v>
      </c>
      <c r="CC158" s="88">
        <f t="shared" si="1272"/>
        <v>0</v>
      </c>
      <c r="CD158" s="103">
        <f t="shared" si="1273"/>
        <v>57.040000000000006</v>
      </c>
      <c r="CE158" s="52"/>
      <c r="CF158" s="107">
        <f t="shared" si="1274"/>
        <v>68.2</v>
      </c>
      <c r="CG158" s="104">
        <f t="shared" ref="CG158" si="1304">CD158/CF158</f>
        <v>0.83636363636363642</v>
      </c>
      <c r="CH158" s="53">
        <f t="shared" si="1276"/>
        <v>0.97117241300744461</v>
      </c>
      <c r="CI158" s="119">
        <f t="shared" si="1277"/>
        <v>1.4401508392011375</v>
      </c>
      <c r="CJ158" s="53">
        <f t="shared" si="1278"/>
        <v>1.47357861804287</v>
      </c>
      <c r="CK158" s="209"/>
      <c r="CL158" s="209">
        <f t="shared" si="1279"/>
        <v>94.5</v>
      </c>
      <c r="CM158" s="110">
        <f t="shared" si="1189"/>
        <v>0.94257425346504453</v>
      </c>
      <c r="CN158" s="64">
        <f>IF(SeilBeregnet=0,"-",(SeilBeregnet)^(1/2)*StHfaktor/(Depl+DeplTillegg/1000+Vann/1000+Diesel/1000*0.84)^(1/3))</f>
        <v>3.588587598474386</v>
      </c>
      <c r="CO158" s="64">
        <f t="shared" si="1140"/>
        <v>1.719387596295177</v>
      </c>
      <c r="CP158" s="64">
        <f t="shared" si="1141"/>
        <v>1.7014179278548895</v>
      </c>
      <c r="CQ158" s="110">
        <f t="shared" si="1142"/>
        <v>1.0022201417492413</v>
      </c>
      <c r="CR158" s="172" t="str">
        <f t="shared" si="1297"/>
        <v>-</v>
      </c>
      <c r="CS158" s="162"/>
      <c r="CT158" s="172" t="str">
        <f t="shared" si="1298"/>
        <v>-</v>
      </c>
      <c r="CU158" s="164"/>
      <c r="CV158" s="195" t="s">
        <v>145</v>
      </c>
      <c r="CW158" s="64">
        <v>0.84</v>
      </c>
      <c r="CX158" s="64">
        <v>0.85</v>
      </c>
      <c r="CY158" s="64">
        <v>0.89</v>
      </c>
      <c r="CZ158" s="154">
        <v>0.87</v>
      </c>
      <c r="DA158" s="64">
        <f t="shared" si="1096"/>
        <v>2.2101391924363338</v>
      </c>
      <c r="DB158" s="49">
        <f t="shared" si="1097"/>
        <v>14.705882352941178</v>
      </c>
      <c r="DC158" s="50">
        <f t="shared" si="1098"/>
        <v>0</v>
      </c>
      <c r="DE158" s="110">
        <f>IF(SeilBeregnet=0,"-",DE$7*(DG:DG+DE$6)*DL:DL*PropF+ErfaringsF+Dyp_F)</f>
        <v>0.92075615574015568</v>
      </c>
      <c r="DF158" s="144" t="str">
        <f t="shared" ref="DF158" si="1305">IF($DQ158=0,"-",(DE158-$DO158)*100)</f>
        <v>-</v>
      </c>
      <c r="DG158" s="110">
        <f t="shared" si="1099"/>
        <v>5.3581177395253228</v>
      </c>
      <c r="DH158" s="136">
        <f t="shared" si="1280"/>
        <v>3.6311210740631448</v>
      </c>
      <c r="DI158" s="136">
        <f t="shared" si="1281"/>
        <v>0</v>
      </c>
      <c r="DJ158" s="136">
        <f t="shared" si="1282"/>
        <v>0</v>
      </c>
      <c r="DK158" s="136">
        <f t="shared" si="1283"/>
        <v>1.7269966654621782</v>
      </c>
      <c r="DL158" s="110">
        <f t="shared" si="1284"/>
        <v>1.7014179278548895</v>
      </c>
      <c r="DM158" s="136">
        <f t="shared" si="1285"/>
        <v>2.2968452802704382</v>
      </c>
      <c r="DO158" s="110">
        <f t="shared" si="467"/>
        <v>0.96181046271943327</v>
      </c>
      <c r="DP158" s="110">
        <f t="shared" si="1100"/>
        <v>0.96268142273231516</v>
      </c>
      <c r="DR158" s="110">
        <f t="shared" si="1101"/>
        <v>0.95599161891100015</v>
      </c>
      <c r="DS158" s="125" t="str">
        <f t="shared" ref="DS158" si="1306">IF($DQ158=0,"-",DR158-$DO158)</f>
        <v>-</v>
      </c>
      <c r="DT158" s="110">
        <f t="shared" si="1102"/>
        <v>0.94622867870048988</v>
      </c>
      <c r="DU158" s="125" t="str">
        <f t="shared" ref="DU158" si="1307">IF($DQ158=0,"-",DT158-$DO158)</f>
        <v>-</v>
      </c>
      <c r="DV158" s="110">
        <f t="shared" si="214"/>
        <v>3.6308817302975944</v>
      </c>
      <c r="DW158" s="110">
        <f t="shared" si="215"/>
        <v>2.0310341765391291</v>
      </c>
      <c r="DX158" s="110">
        <f t="shared" si="1196"/>
        <v>1.5593528329588258</v>
      </c>
      <c r="DZ158" s="110">
        <f t="shared" si="1103"/>
        <v>0.94141334673455812</v>
      </c>
      <c r="EB158" s="110">
        <f t="shared" si="217"/>
        <v>3.6308817302975944</v>
      </c>
      <c r="EC158" s="110">
        <f t="shared" si="1197"/>
        <v>2.0311637107626899</v>
      </c>
      <c r="ED158" s="110">
        <f t="shared" si="1198"/>
        <v>1.8081458776238697</v>
      </c>
      <c r="EE158" s="110">
        <f t="shared" si="1104"/>
        <v>0.93850479158102118</v>
      </c>
      <c r="EG158" s="110">
        <f t="shared" si="1199"/>
        <v>5.6618257122779969</v>
      </c>
      <c r="EH158" s="110">
        <f t="shared" si="219"/>
        <v>3.6308817302975944</v>
      </c>
      <c r="EI158" s="110">
        <f t="shared" si="1200"/>
        <v>1.5593528329588258</v>
      </c>
      <c r="EJ158" s="110">
        <f t="shared" si="1201"/>
        <v>1.7014179278548895</v>
      </c>
      <c r="EK158" s="110">
        <f>IF(SeilBeregnet=0,"-",EK$7*(EK$4*EM:EM+EK$6)*EP:EP*PropF+ErfaringsF+Dyp_F)</f>
        <v>0.92739616172695361</v>
      </c>
      <c r="EM158" s="110">
        <f>IF(SeilBeregnet=0,EM157,(EN:EN*EO:EO)^EM$3)</f>
        <v>1.9019948728385851</v>
      </c>
      <c r="EN158" s="110">
        <f t="shared" si="220"/>
        <v>3.6308817302975944</v>
      </c>
      <c r="EO158" s="110">
        <f t="shared" si="1202"/>
        <v>0.9963377397059312</v>
      </c>
      <c r="EP158" s="110">
        <f t="shared" si="1203"/>
        <v>1.7036974657315185</v>
      </c>
      <c r="EQ158" s="110">
        <f>IF(SeilBeregnet=0,"-",EQ$7*(ES:ES+EQ$6)*EV:EV*PropF+ErfaringsF+Dyp_F)</f>
        <v>0.88673550008782553</v>
      </c>
      <c r="ES158" s="110">
        <f>(ET:ET*EU:EU)^ES$3</f>
        <v>1.90205756051983</v>
      </c>
      <c r="ET158" s="110">
        <f t="shared" si="221"/>
        <v>3.6311210740631448</v>
      </c>
      <c r="EU158" s="110">
        <f t="shared" si="1204"/>
        <v>0.9963377397059312</v>
      </c>
      <c r="EV158" s="110">
        <f t="shared" si="1205"/>
        <v>1.7036974657315185</v>
      </c>
      <c r="EW158" s="110">
        <f>IF(SeilBeregnet=0,"-",EW$7*(EY:EY+EW$6)*FB:FB*PropF+ErfaringsF+Dyp_F)</f>
        <v>0.91818704521977768</v>
      </c>
      <c r="EX158" s="144" t="str">
        <f t="shared" ref="EX158" si="1308">IF($DQ158=0,"-",(EW158-$DO158)*100)</f>
        <v>-</v>
      </c>
      <c r="EY158" s="110">
        <f>(EZ:EZ*FA:FA)^EY$3</f>
        <v>3.6045735541403383</v>
      </c>
      <c r="EZ158" s="136">
        <f t="shared" si="1206"/>
        <v>3.6311210740631448</v>
      </c>
      <c r="FA158" s="136">
        <f t="shared" si="1207"/>
        <v>0.99268889156232398</v>
      </c>
      <c r="FB158" s="110">
        <f t="shared" si="1208"/>
        <v>0.95805949060290141</v>
      </c>
      <c r="FC158" s="110">
        <f>IF(SeilBeregnet=0,"-",FC$7*(FE:FE+FC$6)*FI:FI*PropF+ErfaringsF+Dyp_F)</f>
        <v>0.94071294303265052</v>
      </c>
      <c r="FD158" s="144" t="str">
        <f t="shared" ref="FD158" si="1309">IF($DQ158=0,"-",(FC158-$DO158)*100)</f>
        <v>-</v>
      </c>
      <c r="FE158" s="110">
        <f>(FF:FF+FG:FG+FH:FH)^FE$3+FE$7</f>
        <v>5.7593686984035672</v>
      </c>
      <c r="FF158" s="136">
        <f t="shared" si="1209"/>
        <v>3.6311210740631448</v>
      </c>
      <c r="FG158" s="136">
        <f t="shared" si="1210"/>
        <v>0.90125095887824369</v>
      </c>
      <c r="FH158" s="136">
        <f t="shared" si="1211"/>
        <v>1.7269966654621782</v>
      </c>
      <c r="FI158" s="110">
        <f t="shared" si="1212"/>
        <v>1.7014179278548895</v>
      </c>
      <c r="FJ158" s="110">
        <f>IF(SeilBeregnet=0,"-",FJ$7*(FL:FL+FJ$6)*FO:FO*PropF+ErfaringsF+Dyp_F)</f>
        <v>0.9087078634893816</v>
      </c>
      <c r="FK158" s="144" t="str">
        <f t="shared" ref="FK158" si="1310">IF($DQ158=0,"-",(FJ158-$DO158)*100)</f>
        <v>-</v>
      </c>
      <c r="FL158" s="110">
        <f>(FM:FM*FN:FN)^FL$3</f>
        <v>6.2709339867964937</v>
      </c>
      <c r="FM158" s="136">
        <f t="shared" si="1213"/>
        <v>3.6311210740631448</v>
      </c>
      <c r="FN158" s="136">
        <f t="shared" si="1214"/>
        <v>1.7269966654621782</v>
      </c>
      <c r="FO158" s="110">
        <f t="shared" si="1215"/>
        <v>1.7014179278548895</v>
      </c>
      <c r="FQ158">
        <v>0.95</v>
      </c>
      <c r="FR158" s="64">
        <f t="shared" si="1249"/>
        <v>1.1572228656438566</v>
      </c>
      <c r="FS158" s="479"/>
      <c r="FT158" s="18"/>
      <c r="FU158" s="481"/>
      <c r="FV158" s="504"/>
      <c r="FW158" s="18"/>
      <c r="FX158" s="18"/>
      <c r="FY158" s="18"/>
      <c r="FZ158" s="18"/>
      <c r="GB158" s="18"/>
      <c r="GC158" s="481"/>
      <c r="GD158" s="8"/>
      <c r="GE158" s="8"/>
      <c r="GF158" s="8"/>
      <c r="GG158" s="8"/>
      <c r="GI158" s="18"/>
      <c r="GJ158" s="18"/>
      <c r="GK158" s="18"/>
      <c r="GL158" s="18"/>
      <c r="GM158" s="18"/>
      <c r="GN158" s="18"/>
      <c r="GO158" s="18"/>
      <c r="GP158" s="18"/>
    </row>
    <row r="159" spans="1:198" ht="15.6" x14ac:dyDescent="0.3">
      <c r="A159" s="62" t="s">
        <v>36</v>
      </c>
      <c r="B159" s="223"/>
      <c r="C159" s="63" t="s">
        <v>22</v>
      </c>
      <c r="D159" s="63"/>
      <c r="E159" s="63"/>
      <c r="F159" s="63"/>
      <c r="G159" s="56"/>
      <c r="H159" s="209">
        <f t="shared" si="1256"/>
        <v>85.500000000000014</v>
      </c>
      <c r="I159" s="65">
        <f t="shared" si="1257"/>
        <v>2</v>
      </c>
      <c r="J159" s="228">
        <f t="shared" si="1258"/>
        <v>49.6</v>
      </c>
      <c r="K159" s="119">
        <f t="shared" si="1259"/>
        <v>1.047382428509918</v>
      </c>
      <c r="L159" s="119">
        <f t="shared" si="1260"/>
        <v>1.0716935403948145</v>
      </c>
      <c r="M159" s="95">
        <f t="shared" si="1261"/>
        <v>0.85000000000000009</v>
      </c>
      <c r="N159" s="265">
        <f t="shared" si="1262"/>
        <v>1.0022201417492413</v>
      </c>
      <c r="O159" s="147"/>
      <c r="P159" s="147"/>
      <c r="Q159" s="147"/>
      <c r="R159" s="147"/>
      <c r="S159" s="147"/>
      <c r="T159" s="169">
        <v>12.4</v>
      </c>
      <c r="U159" s="169">
        <v>37.200000000000003</v>
      </c>
      <c r="V159" s="148"/>
      <c r="W159" s="148"/>
      <c r="X159" s="148"/>
      <c r="Y159" s="147"/>
      <c r="Z159" s="147"/>
      <c r="AA159" s="147"/>
      <c r="AB159" s="147"/>
      <c r="AC159" s="147"/>
      <c r="AD159" s="147"/>
      <c r="AE159" s="260">
        <f t="shared" ref="AE159" si="1311">AE158</f>
        <v>8.5299999999999994</v>
      </c>
      <c r="AF159" s="375">
        <f t="shared" si="1264"/>
        <v>0</v>
      </c>
      <c r="AG159" s="377"/>
      <c r="AH159" s="375">
        <f t="shared" si="1264"/>
        <v>0</v>
      </c>
      <c r="AI159" s="377"/>
      <c r="AJ159" s="295" t="str">
        <f t="shared" ref="AJ159" si="1312" xml:space="preserve"> AJ158</f>
        <v>Lystb</v>
      </c>
      <c r="AK159" s="47">
        <f>VLOOKUP(AJ159,Skrogform!$1:$1048576,3,FALSE)</f>
        <v>0.98</v>
      </c>
      <c r="AL159" s="66">
        <f t="shared" ref="AL159:AT159" si="1313">AL158</f>
        <v>8.5299999999999994</v>
      </c>
      <c r="AM159" s="66">
        <f t="shared" si="1313"/>
        <v>8.3800000000000008</v>
      </c>
      <c r="AN159" s="66">
        <f t="shared" si="1313"/>
        <v>2.86</v>
      </c>
      <c r="AO159" s="66">
        <f t="shared" si="1313"/>
        <v>1.8</v>
      </c>
      <c r="AP159" s="66">
        <f t="shared" si="1313"/>
        <v>9</v>
      </c>
      <c r="AQ159" s="66">
        <f t="shared" si="1313"/>
        <v>5</v>
      </c>
      <c r="AR159" s="66">
        <f t="shared" si="1313"/>
        <v>0.5</v>
      </c>
      <c r="AS159" s="284">
        <f t="shared" si="1313"/>
        <v>0</v>
      </c>
      <c r="AT159" s="284">
        <f t="shared" si="1313"/>
        <v>0</v>
      </c>
      <c r="AU159" s="284">
        <f t="shared" ref="AU159:AV159" si="1314">AU158</f>
        <v>100</v>
      </c>
      <c r="AV159" s="284">
        <f t="shared" si="1314"/>
        <v>100</v>
      </c>
      <c r="AW159" s="284"/>
      <c r="AX159" s="284">
        <f t="shared" si="1268"/>
        <v>0</v>
      </c>
      <c r="AY159" s="68"/>
      <c r="AZ159" s="68"/>
      <c r="BA159" s="289"/>
      <c r="BB159" s="68"/>
      <c r="BC159" s="179"/>
      <c r="BD159" s="68"/>
      <c r="BE159" s="68"/>
      <c r="BF159" s="67" t="str">
        <f t="shared" ref="BF159:BH159" si="1315" xml:space="preserve"> BF158</f>
        <v>Seilrett</v>
      </c>
      <c r="BG159" s="295">
        <f t="shared" si="1315"/>
        <v>3</v>
      </c>
      <c r="BH159" s="295">
        <f t="shared" si="1315"/>
        <v>0</v>
      </c>
      <c r="BI159" s="47">
        <f t="shared" si="1095"/>
        <v>1</v>
      </c>
      <c r="BJ159" s="61">
        <f t="shared" si="1291"/>
        <v>0</v>
      </c>
      <c r="BK159" s="61"/>
      <c r="BM159" s="51">
        <f t="shared" si="1270"/>
        <v>0</v>
      </c>
      <c r="BN159" s="51">
        <f t="shared" si="1270"/>
        <v>0</v>
      </c>
      <c r="BO159" s="51">
        <f t="shared" si="1270"/>
        <v>0</v>
      </c>
      <c r="BP159" s="51">
        <f t="shared" si="1270"/>
        <v>0</v>
      </c>
      <c r="BQ159" s="51">
        <f t="shared" si="1270"/>
        <v>0</v>
      </c>
      <c r="BR159" s="51">
        <f t="shared" si="1270"/>
        <v>12.4</v>
      </c>
      <c r="BS159" s="52">
        <f t="shared" si="1271"/>
        <v>0</v>
      </c>
      <c r="BT159" s="88">
        <f t="shared" si="1272"/>
        <v>29.760000000000005</v>
      </c>
      <c r="BU159" s="88">
        <f t="shared" si="1272"/>
        <v>0</v>
      </c>
      <c r="BV159" s="88">
        <f t="shared" si="1272"/>
        <v>0</v>
      </c>
      <c r="BW159" s="88">
        <f t="shared" si="1272"/>
        <v>0</v>
      </c>
      <c r="BX159" s="88">
        <f t="shared" si="1272"/>
        <v>0</v>
      </c>
      <c r="BY159" s="88">
        <f t="shared" si="1272"/>
        <v>0</v>
      </c>
      <c r="BZ159" s="88">
        <f t="shared" si="1272"/>
        <v>0</v>
      </c>
      <c r="CA159" s="88">
        <f t="shared" si="1272"/>
        <v>0</v>
      </c>
      <c r="CB159" s="88">
        <f t="shared" si="1272"/>
        <v>0</v>
      </c>
      <c r="CC159" s="88">
        <f t="shared" si="1272"/>
        <v>0</v>
      </c>
      <c r="CD159" s="103">
        <f t="shared" si="1273"/>
        <v>42.160000000000004</v>
      </c>
      <c r="CE159" s="52"/>
      <c r="CF159" s="107">
        <f t="shared" si="1274"/>
        <v>49.6</v>
      </c>
      <c r="CG159" s="104">
        <f>CD159/CF159</f>
        <v>0.85000000000000009</v>
      </c>
      <c r="CH159" s="53">
        <f t="shared" si="1276"/>
        <v>0.70630720945995962</v>
      </c>
      <c r="CI159" s="119">
        <f t="shared" si="1277"/>
        <v>1.047382428509918</v>
      </c>
      <c r="CJ159" s="53">
        <f t="shared" si="1278"/>
        <v>1.0716935403948145</v>
      </c>
      <c r="CK159" s="209"/>
      <c r="CL159" s="209">
        <f t="shared" si="1279"/>
        <v>85.500000000000014</v>
      </c>
      <c r="CM159" s="110">
        <f t="shared" si="1189"/>
        <v>0.85318517316606124</v>
      </c>
      <c r="CN159" s="64">
        <f>IF(SeilBeregnet=0,"-",(SeilBeregnet)^(1/2)*StHfaktor/(Depl+DeplTillegg/1000+Vann/1000+Diesel/1000*0.84)^(1/3))</f>
        <v>3.0852054838388256</v>
      </c>
      <c r="CO159" s="64">
        <f t="shared" si="1140"/>
        <v>1.719387596295177</v>
      </c>
      <c r="CP159" s="64">
        <f t="shared" si="1141"/>
        <v>1.7014179278548895</v>
      </c>
      <c r="CQ159" s="110">
        <f t="shared" si="1142"/>
        <v>1.0022201417492413</v>
      </c>
      <c r="CR159" s="172" t="str">
        <f t="shared" si="1297"/>
        <v>-</v>
      </c>
      <c r="CS159" s="162"/>
      <c r="CT159" s="172" t="str">
        <f t="shared" si="1298"/>
        <v>-</v>
      </c>
      <c r="CU159" s="164"/>
      <c r="CV159" s="195" t="s">
        <v>145</v>
      </c>
      <c r="CW159" s="64">
        <v>0.74</v>
      </c>
      <c r="CX159" s="64">
        <v>0.79</v>
      </c>
      <c r="CY159" s="64">
        <v>0.79</v>
      </c>
      <c r="CZ159" s="154">
        <v>0.87</v>
      </c>
      <c r="DA159" s="64">
        <f t="shared" si="1096"/>
        <v>2.2101391924363338</v>
      </c>
      <c r="DB159" s="49">
        <f t="shared" si="1097"/>
        <v>14.705882352941178</v>
      </c>
      <c r="DC159" s="50">
        <f t="shared" si="1098"/>
        <v>0</v>
      </c>
      <c r="DE159" s="110">
        <f>IF(SeilBeregnet=0,"-",DE$7*(DG:DG+DE$6)*DL:DL*PropF+ErfaringsF+Dyp_F)</f>
        <v>0.83322808876410603</v>
      </c>
      <c r="DF159" s="144" t="str">
        <f t="shared" si="1161"/>
        <v>-</v>
      </c>
      <c r="DG159" s="110">
        <f t="shared" si="1099"/>
        <v>4.8487693246958443</v>
      </c>
      <c r="DH159" s="136">
        <f t="shared" si="1280"/>
        <v>3.1217726592336663</v>
      </c>
      <c r="DI159" s="136">
        <f t="shared" si="1281"/>
        <v>0</v>
      </c>
      <c r="DJ159" s="136">
        <f t="shared" si="1282"/>
        <v>0</v>
      </c>
      <c r="DK159" s="136">
        <f t="shared" si="1283"/>
        <v>1.7269966654621782</v>
      </c>
      <c r="DL159" s="110">
        <f t="shared" si="1284"/>
        <v>1.7014179278548895</v>
      </c>
      <c r="DM159" s="136">
        <f t="shared" si="1285"/>
        <v>2.2968452802704382</v>
      </c>
      <c r="DO159" s="110">
        <f t="shared" si="467"/>
        <v>0.87059711547557261</v>
      </c>
      <c r="DP159" s="110">
        <f t="shared" si="1100"/>
        <v>0.85532067648189847</v>
      </c>
      <c r="DR159" s="110">
        <f t="shared" si="1101"/>
        <v>0.86901328695753599</v>
      </c>
      <c r="DS159" s="125" t="str">
        <f t="shared" si="1162"/>
        <v>-</v>
      </c>
      <c r="DT159" s="110">
        <f t="shared" si="1102"/>
        <v>0.84514396629652311</v>
      </c>
      <c r="DU159" s="125" t="str">
        <f t="shared" si="1163"/>
        <v>-</v>
      </c>
      <c r="DV159" s="110">
        <f t="shared" si="214"/>
        <v>3.1215668889472417</v>
      </c>
      <c r="DW159" s="110">
        <f t="shared" si="215"/>
        <v>2.0310341765391291</v>
      </c>
      <c r="DX159" s="110">
        <f t="shared" si="1196"/>
        <v>1.5593528329588258</v>
      </c>
      <c r="DZ159" s="110">
        <f t="shared" si="1103"/>
        <v>0.85033762097240606</v>
      </c>
      <c r="EB159" s="110">
        <f t="shared" si="217"/>
        <v>3.1215668889472417</v>
      </c>
      <c r="EC159" s="110">
        <f t="shared" si="1197"/>
        <v>2.0311637107626899</v>
      </c>
      <c r="ED159" s="110">
        <f t="shared" si="1198"/>
        <v>1.8081458776238697</v>
      </c>
      <c r="EE159" s="110">
        <f t="shared" si="1104"/>
        <v>0.84122224047058647</v>
      </c>
      <c r="EG159" s="110">
        <f t="shared" si="1199"/>
        <v>4.8676241715503492</v>
      </c>
      <c r="EH159" s="110">
        <f t="shared" si="219"/>
        <v>3.1215668889472417</v>
      </c>
      <c r="EI159" s="110">
        <f t="shared" si="1200"/>
        <v>1.5593528329588258</v>
      </c>
      <c r="EJ159" s="110">
        <f t="shared" si="1201"/>
        <v>1.7014179278548895</v>
      </c>
      <c r="EK159" s="110">
        <f>IF(SeilBeregnet=0,"-",EK$7*(EK$4*EM:EM+EK$6)*EP:EP*PropF+ErfaringsF+Dyp_F)</f>
        <v>0.8358221252842436</v>
      </c>
      <c r="EM159" s="110">
        <f>IF(SeilBeregnet=0,EM158,(EN:EN*EO:EO)^EM$3)</f>
        <v>1.7635574553936626</v>
      </c>
      <c r="EN159" s="110">
        <f t="shared" si="220"/>
        <v>3.1215668889472417</v>
      </c>
      <c r="EO159" s="110">
        <f t="shared" si="1202"/>
        <v>0.9963377397059312</v>
      </c>
      <c r="EP159" s="110">
        <f t="shared" si="1203"/>
        <v>1.7036974657315185</v>
      </c>
      <c r="EQ159" s="110">
        <f>IF(SeilBeregnet=0,"-",EQ$7*(ES:ES+EQ$6)*EV:EV*PropF+ErfaringsF+Dyp_F)</f>
        <v>0.82219412074872966</v>
      </c>
      <c r="ES159" s="110">
        <f>(ET:ET*EU:EU)^ES$3</f>
        <v>1.7636155803282769</v>
      </c>
      <c r="ET159" s="110">
        <f t="shared" si="221"/>
        <v>3.1217726592336663</v>
      </c>
      <c r="EU159" s="110">
        <f t="shared" si="1204"/>
        <v>0.9963377397059312</v>
      </c>
      <c r="EV159" s="110">
        <f t="shared" si="1205"/>
        <v>1.7036974657315185</v>
      </c>
      <c r="EW159" s="110">
        <f>IF(SeilBeregnet=0,"-",EW$7*(EY:EY+EW$6)*FB:FB*PropF+ErfaringsF+Dyp_F)</f>
        <v>0.83535150502996336</v>
      </c>
      <c r="EX159" s="144" t="str">
        <f t="shared" si="1246"/>
        <v>-</v>
      </c>
      <c r="EY159" s="110">
        <f>(EZ:EZ*FA:FA)^EY$3</f>
        <v>3.0989490408042366</v>
      </c>
      <c r="EZ159" s="136">
        <f t="shared" si="1206"/>
        <v>3.1217726592336663</v>
      </c>
      <c r="FA159" s="136">
        <f t="shared" si="1207"/>
        <v>0.99268889156232398</v>
      </c>
      <c r="FB159" s="110">
        <f t="shared" si="1208"/>
        <v>0.95805949060290141</v>
      </c>
      <c r="FC159" s="110">
        <f>IF(SeilBeregnet=0,"-",FC$7*(FE:FE+FC$6)*FI:FI*PropF+ErfaringsF+Dyp_F)</f>
        <v>0.83686879738248521</v>
      </c>
      <c r="FD159" s="144" t="str">
        <f t="shared" si="1247"/>
        <v>-</v>
      </c>
      <c r="FE159" s="110">
        <f>(FF:FF+FG:FG+FH:FH)^FE$3+FE$7</f>
        <v>5.1235990660203283</v>
      </c>
      <c r="FF159" s="136">
        <f t="shared" si="1209"/>
        <v>3.1217726592336663</v>
      </c>
      <c r="FG159" s="136">
        <f t="shared" si="1210"/>
        <v>0.77482974132448335</v>
      </c>
      <c r="FH159" s="136">
        <f t="shared" si="1211"/>
        <v>1.7269966654621782</v>
      </c>
      <c r="FI159" s="110">
        <f t="shared" si="1212"/>
        <v>1.7014179278548895</v>
      </c>
      <c r="FJ159" s="110">
        <f>IF(SeilBeregnet=0,"-",FJ$7*(FL:FL+FJ$6)*FO:FO*PropF+ErfaringsF+Dyp_F)</f>
        <v>0.83088256299726904</v>
      </c>
      <c r="FK159" s="144" t="str">
        <f t="shared" si="1248"/>
        <v>-</v>
      </c>
      <c r="FL159" s="110">
        <f>(FM:FM*FN:FN)^FL$3</f>
        <v>5.3912909728275382</v>
      </c>
      <c r="FM159" s="136">
        <f t="shared" si="1213"/>
        <v>3.1217726592336663</v>
      </c>
      <c r="FN159" s="136">
        <f t="shared" si="1214"/>
        <v>1.7269966654621782</v>
      </c>
      <c r="FO159" s="110">
        <f t="shared" si="1215"/>
        <v>1.7014179278548895</v>
      </c>
      <c r="FQ159">
        <v>0.95</v>
      </c>
      <c r="FR159" s="64">
        <f t="shared" si="1249"/>
        <v>1.0802261592971922</v>
      </c>
      <c r="FS159" s="479"/>
      <c r="FT159" s="18"/>
      <c r="FU159" s="481"/>
      <c r="FV159" s="504"/>
      <c r="FW159" s="18"/>
      <c r="FX159" s="18"/>
      <c r="FY159" s="18"/>
      <c r="FZ159" s="18"/>
      <c r="GB159" s="18"/>
      <c r="GC159" s="481"/>
      <c r="GD159" s="8"/>
      <c r="GE159" s="8"/>
      <c r="GF159" s="8"/>
      <c r="GG159" s="8"/>
      <c r="GI159" s="18"/>
      <c r="GJ159" s="18"/>
      <c r="GK159" s="18"/>
      <c r="GL159" s="18"/>
      <c r="GM159" s="18"/>
      <c r="GN159" s="18"/>
      <c r="GO159" s="18"/>
      <c r="GP159" s="18"/>
    </row>
    <row r="160" spans="1:198" ht="15.6" x14ac:dyDescent="0.3">
      <c r="A160" s="62" t="s">
        <v>124</v>
      </c>
      <c r="B160" s="223"/>
      <c r="C160" s="63" t="s">
        <v>22</v>
      </c>
      <c r="D160" s="63"/>
      <c r="E160" s="63"/>
      <c r="F160" s="63"/>
      <c r="G160" s="56"/>
      <c r="H160" s="209">
        <f t="shared" si="1256"/>
        <v>90.5</v>
      </c>
      <c r="I160" s="65">
        <f t="shared" si="1257"/>
        <v>3</v>
      </c>
      <c r="J160" s="228">
        <f t="shared" si="1258"/>
        <v>62</v>
      </c>
      <c r="K160" s="119">
        <f t="shared" si="1259"/>
        <v>1.3092280356373975</v>
      </c>
      <c r="L160" s="119">
        <f t="shared" si="1260"/>
        <v>1.3396169254935182</v>
      </c>
      <c r="M160" s="95">
        <f t="shared" si="1261"/>
        <v>0.81500000000000006</v>
      </c>
      <c r="N160" s="265">
        <f t="shared" si="1262"/>
        <v>1.0022201417492413</v>
      </c>
      <c r="O160" s="147"/>
      <c r="P160" s="147"/>
      <c r="Q160" s="147"/>
      <c r="R160" s="169">
        <v>18.600000000000001</v>
      </c>
      <c r="S160" s="147"/>
      <c r="T160" s="169">
        <v>12.4</v>
      </c>
      <c r="U160" s="148"/>
      <c r="V160" s="184">
        <f>V$154</f>
        <v>31.000000000000004</v>
      </c>
      <c r="W160" s="148"/>
      <c r="X160" s="148"/>
      <c r="Y160" s="147"/>
      <c r="Z160" s="147"/>
      <c r="AA160" s="147"/>
      <c r="AB160" s="147"/>
      <c r="AC160" s="147"/>
      <c r="AD160" s="147"/>
      <c r="AE160" s="260">
        <f t="shared" ref="AE160" si="1316">AE159</f>
        <v>8.5299999999999994</v>
      </c>
      <c r="AF160" s="375">
        <f t="shared" si="1264"/>
        <v>0</v>
      </c>
      <c r="AG160" s="377"/>
      <c r="AH160" s="375">
        <f t="shared" si="1264"/>
        <v>0</v>
      </c>
      <c r="AI160" s="377"/>
      <c r="AJ160" s="295" t="str">
        <f t="shared" ref="AJ160" si="1317" xml:space="preserve"> AJ159</f>
        <v>Lystb</v>
      </c>
      <c r="AK160" s="47">
        <f>VLOOKUP(AJ160,Skrogform!$1:$1048576,3,FALSE)</f>
        <v>0.98</v>
      </c>
      <c r="AL160" s="66">
        <f t="shared" ref="AL160:AT160" si="1318">AL159</f>
        <v>8.5299999999999994</v>
      </c>
      <c r="AM160" s="66">
        <f t="shared" si="1318"/>
        <v>8.3800000000000008</v>
      </c>
      <c r="AN160" s="66">
        <f t="shared" si="1318"/>
        <v>2.86</v>
      </c>
      <c r="AO160" s="66">
        <f t="shared" si="1318"/>
        <v>1.8</v>
      </c>
      <c r="AP160" s="66">
        <f t="shared" si="1318"/>
        <v>9</v>
      </c>
      <c r="AQ160" s="66">
        <f t="shared" si="1318"/>
        <v>5</v>
      </c>
      <c r="AR160" s="66">
        <f t="shared" si="1318"/>
        <v>0.5</v>
      </c>
      <c r="AS160" s="284">
        <f t="shared" si="1318"/>
        <v>0</v>
      </c>
      <c r="AT160" s="284">
        <f t="shared" si="1318"/>
        <v>0</v>
      </c>
      <c r="AU160" s="284">
        <f t="shared" ref="AU160:AV160" si="1319">AU159</f>
        <v>100</v>
      </c>
      <c r="AV160" s="284">
        <f t="shared" si="1319"/>
        <v>100</v>
      </c>
      <c r="AW160" s="284"/>
      <c r="AX160" s="284">
        <f t="shared" si="1268"/>
        <v>0</v>
      </c>
      <c r="AY160" s="68"/>
      <c r="AZ160" s="68"/>
      <c r="BA160" s="289"/>
      <c r="BB160" s="68"/>
      <c r="BC160" s="179"/>
      <c r="BD160" s="68"/>
      <c r="BE160" s="68"/>
      <c r="BF160" s="67" t="str">
        <f t="shared" ref="BF160:BH160" si="1320" xml:space="preserve"> BF159</f>
        <v>Seilrett</v>
      </c>
      <c r="BG160" s="295">
        <f t="shared" si="1320"/>
        <v>3</v>
      </c>
      <c r="BH160" s="295">
        <f t="shared" si="1320"/>
        <v>0</v>
      </c>
      <c r="BI160" s="47">
        <f t="shared" si="1095"/>
        <v>1</v>
      </c>
      <c r="BJ160" s="61">
        <f t="shared" si="1291"/>
        <v>0</v>
      </c>
      <c r="BK160" s="61"/>
      <c r="BM160" s="51">
        <f t="shared" si="1270"/>
        <v>0</v>
      </c>
      <c r="BN160" s="51">
        <f t="shared" si="1270"/>
        <v>0</v>
      </c>
      <c r="BO160" s="51">
        <f t="shared" si="1270"/>
        <v>0</v>
      </c>
      <c r="BP160" s="51">
        <f t="shared" si="1270"/>
        <v>18.600000000000001</v>
      </c>
      <c r="BQ160" s="51">
        <f t="shared" si="1270"/>
        <v>0</v>
      </c>
      <c r="BR160" s="51">
        <f t="shared" si="1270"/>
        <v>12.4</v>
      </c>
      <c r="BS160" s="52">
        <f t="shared" si="1271"/>
        <v>-3.7199999999999998</v>
      </c>
      <c r="BT160" s="88">
        <f t="shared" si="1272"/>
        <v>0</v>
      </c>
      <c r="BU160" s="88">
        <f t="shared" si="1272"/>
        <v>23.250000000000004</v>
      </c>
      <c r="BV160" s="88">
        <f t="shared" si="1272"/>
        <v>0</v>
      </c>
      <c r="BW160" s="88">
        <f t="shared" si="1272"/>
        <v>0</v>
      </c>
      <c r="BX160" s="88">
        <f t="shared" si="1272"/>
        <v>0</v>
      </c>
      <c r="BY160" s="88">
        <f t="shared" si="1272"/>
        <v>0</v>
      </c>
      <c r="BZ160" s="88">
        <f t="shared" si="1272"/>
        <v>0</v>
      </c>
      <c r="CA160" s="88">
        <f t="shared" si="1272"/>
        <v>0</v>
      </c>
      <c r="CB160" s="88">
        <f t="shared" si="1272"/>
        <v>0</v>
      </c>
      <c r="CC160" s="88">
        <f t="shared" si="1272"/>
        <v>0</v>
      </c>
      <c r="CD160" s="103">
        <f t="shared" si="1273"/>
        <v>50.53</v>
      </c>
      <c r="CE160" s="52"/>
      <c r="CF160" s="107">
        <f t="shared" si="1274"/>
        <v>62</v>
      </c>
      <c r="CG160" s="104">
        <f t="shared" si="1275"/>
        <v>0.81500000000000006</v>
      </c>
      <c r="CH160" s="53">
        <f t="shared" si="1276"/>
        <v>0.88288401182494958</v>
      </c>
      <c r="CI160" s="119">
        <f t="shared" si="1277"/>
        <v>1.3092280356373975</v>
      </c>
      <c r="CJ160" s="53">
        <f t="shared" si="1278"/>
        <v>1.3396169254935182</v>
      </c>
      <c r="CK160" s="209"/>
      <c r="CL160" s="209">
        <f t="shared" si="1279"/>
        <v>90.5</v>
      </c>
      <c r="CM160" s="110">
        <f t="shared" si="1189"/>
        <v>0.90510802405098423</v>
      </c>
      <c r="CN160" s="64">
        <f>IF(SeilBeregnet=0,"-",(SeilBeregnet)^(1/2)*StHfaktor/(Depl+DeplTillegg/1000+Vann/1000+Diesel/1000*0.84)^(1/3))</f>
        <v>3.3776017629921378</v>
      </c>
      <c r="CO160" s="64">
        <f t="shared" si="1140"/>
        <v>1.719387596295177</v>
      </c>
      <c r="CP160" s="64">
        <f t="shared" si="1141"/>
        <v>1.7014179278548895</v>
      </c>
      <c r="CQ160" s="110">
        <f t="shared" si="1142"/>
        <v>1.0022201417492413</v>
      </c>
      <c r="CR160" s="172" t="str">
        <f t="shared" si="1297"/>
        <v>-</v>
      </c>
      <c r="CS160" s="162"/>
      <c r="CT160" s="172" t="str">
        <f t="shared" si="1298"/>
        <v>-</v>
      </c>
      <c r="CU160" s="164"/>
      <c r="CV160" s="195" t="s">
        <v>145</v>
      </c>
      <c r="CW160" s="64">
        <v>0.81</v>
      </c>
      <c r="CX160" s="64">
        <v>0.83</v>
      </c>
      <c r="CY160" s="64">
        <v>0.86</v>
      </c>
      <c r="CZ160" s="154">
        <v>0.84</v>
      </c>
      <c r="DA160" s="64">
        <f t="shared" si="1096"/>
        <v>2.2101391924363338</v>
      </c>
      <c r="DB160" s="49">
        <f t="shared" si="1097"/>
        <v>14.705882352941178</v>
      </c>
      <c r="DC160" s="50">
        <f t="shared" si="1098"/>
        <v>0</v>
      </c>
      <c r="DE160" s="110">
        <f>IF(SeilBeregnet=0,"-",DE$7*(DG:DG+DE$6)*DL:DL*PropF+ErfaringsF+Dyp_F)</f>
        <v>0.88406994500249803</v>
      </c>
      <c r="DF160" s="144" t="str">
        <f t="shared" si="1161"/>
        <v>-</v>
      </c>
      <c r="DG160" s="110">
        <f t="shared" si="1099"/>
        <v>5.144631209650977</v>
      </c>
      <c r="DH160" s="136">
        <f t="shared" si="1280"/>
        <v>3.4176345441887985</v>
      </c>
      <c r="DI160" s="136">
        <f t="shared" si="1281"/>
        <v>0</v>
      </c>
      <c r="DJ160" s="136">
        <f t="shared" si="1282"/>
        <v>0</v>
      </c>
      <c r="DK160" s="136">
        <f t="shared" si="1283"/>
        <v>1.7269966654621782</v>
      </c>
      <c r="DL160" s="110">
        <f t="shared" si="1284"/>
        <v>1.7014179278548895</v>
      </c>
      <c r="DM160" s="136">
        <f t="shared" si="1285"/>
        <v>2.2968452802704382</v>
      </c>
      <c r="DO160" s="110">
        <f t="shared" si="467"/>
        <v>0.92357961637855535</v>
      </c>
      <c r="DP160" s="110">
        <f t="shared" si="1100"/>
        <v>0.9176826115170198</v>
      </c>
      <c r="DR160" s="110">
        <f t="shared" si="1101"/>
        <v>0.91953582220606589</v>
      </c>
      <c r="DS160" s="125" t="str">
        <f t="shared" si="1162"/>
        <v>-</v>
      </c>
      <c r="DT160" s="110">
        <f t="shared" si="1102"/>
        <v>0.90386038256729417</v>
      </c>
      <c r="DU160" s="125" t="str">
        <f t="shared" si="1163"/>
        <v>-</v>
      </c>
      <c r="DV160" s="110">
        <f t="shared" si="214"/>
        <v>3.417409272294968</v>
      </c>
      <c r="DW160" s="110">
        <f t="shared" si="215"/>
        <v>2.0310341765391291</v>
      </c>
      <c r="DX160" s="110">
        <f t="shared" si="1196"/>
        <v>1.5593528329588258</v>
      </c>
      <c r="DZ160" s="110">
        <f t="shared" si="1103"/>
        <v>0.90324018258471239</v>
      </c>
      <c r="EB160" s="110">
        <f t="shared" si="217"/>
        <v>3.417409272294968</v>
      </c>
      <c r="EC160" s="110">
        <f t="shared" si="1197"/>
        <v>2.0311637107626899</v>
      </c>
      <c r="ED160" s="110">
        <f t="shared" si="1198"/>
        <v>1.8081458776238697</v>
      </c>
      <c r="EE160" s="110">
        <f t="shared" si="1104"/>
        <v>0.89773012015921361</v>
      </c>
      <c r="EG160" s="110">
        <f t="shared" si="1199"/>
        <v>5.3289468301329173</v>
      </c>
      <c r="EH160" s="110">
        <f t="shared" si="219"/>
        <v>3.417409272294968</v>
      </c>
      <c r="EI160" s="110">
        <f t="shared" si="1200"/>
        <v>1.5593528329588258</v>
      </c>
      <c r="EJ160" s="110">
        <f t="shared" si="1201"/>
        <v>1.7014179278548895</v>
      </c>
      <c r="EK160" s="110">
        <f>IF(SeilBeregnet=0,"-",EK$7*(EK$4*EM:EM+EK$6)*EP:EP*PropF+ErfaringsF+Dyp_F)</f>
        <v>0.88985074631159911</v>
      </c>
      <c r="EM160" s="110">
        <f>IF(SeilBeregnet=0,EM159,(EN:EN*EO:EO)^EM$3)</f>
        <v>1.8452354402645912</v>
      </c>
      <c r="EN160" s="110">
        <f t="shared" si="220"/>
        <v>3.417409272294968</v>
      </c>
      <c r="EO160" s="110">
        <f t="shared" si="1202"/>
        <v>0.9963377397059312</v>
      </c>
      <c r="EP160" s="110">
        <f t="shared" si="1203"/>
        <v>1.7036974657315185</v>
      </c>
      <c r="EQ160" s="110">
        <f>IF(SeilBeregnet=0,"-",EQ$7*(ES:ES+EQ$6)*EV:EV*PropF+ErfaringsF+Dyp_F)</f>
        <v>0.86027349193683256</v>
      </c>
      <c r="ES160" s="110">
        <f>(ET:ET*EU:EU)^ES$3</f>
        <v>1.8452962572167044</v>
      </c>
      <c r="ET160" s="110">
        <f t="shared" si="221"/>
        <v>3.4176345441887985</v>
      </c>
      <c r="EU160" s="110">
        <f t="shared" si="1204"/>
        <v>0.9963377397059312</v>
      </c>
      <c r="EV160" s="110">
        <f t="shared" si="1205"/>
        <v>1.7036974657315185</v>
      </c>
      <c r="EW160" s="110">
        <f>IF(SeilBeregnet=0,"-",EW$7*(EY:EY+EW$6)*FB:FB*PropF+ErfaringsF+Dyp_F)</f>
        <v>0.88346764390130927</v>
      </c>
      <c r="EX160" s="144" t="str">
        <f t="shared" si="1246"/>
        <v>-</v>
      </c>
      <c r="EY160" s="110">
        <f>(EZ:EZ*FA:FA)^EY$3</f>
        <v>3.392647847435887</v>
      </c>
      <c r="EZ160" s="136">
        <f t="shared" si="1206"/>
        <v>3.4176345441887985</v>
      </c>
      <c r="FA160" s="136">
        <f t="shared" si="1207"/>
        <v>0.99268889156232398</v>
      </c>
      <c r="FB160" s="110">
        <f t="shared" si="1208"/>
        <v>0.95805949060290141</v>
      </c>
      <c r="FC160" s="110">
        <f>IF(SeilBeregnet=0,"-",FC$7*(FE:FE+FC$6)*FI:FI*PropF+ErfaringsF+Dyp_F)</f>
        <v>0.89718806760913139</v>
      </c>
      <c r="FD160" s="144" t="str">
        <f t="shared" si="1247"/>
        <v>-</v>
      </c>
      <c r="FE160" s="110">
        <f>(FF:FF+FG:FG+FH:FH)^FE$3+FE$7</f>
        <v>5.4928944174098273</v>
      </c>
      <c r="FF160" s="136">
        <f t="shared" si="1209"/>
        <v>3.4176345441887985</v>
      </c>
      <c r="FG160" s="136">
        <f t="shared" si="1210"/>
        <v>0.84826320775885</v>
      </c>
      <c r="FH160" s="136">
        <f t="shared" si="1211"/>
        <v>1.7269966654621782</v>
      </c>
      <c r="FI160" s="110">
        <f t="shared" si="1212"/>
        <v>1.7014179278548895</v>
      </c>
      <c r="FJ160" s="110">
        <f>IF(SeilBeregnet=0,"-",FJ$7*(FL:FL+FJ$6)*FO:FO*PropF+ErfaringsF+Dyp_F)</f>
        <v>0.87608843667904857</v>
      </c>
      <c r="FK160" s="144" t="str">
        <f t="shared" si="1248"/>
        <v>-</v>
      </c>
      <c r="FL160" s="110">
        <f>(FM:FM*FN:FN)^FL$3</f>
        <v>5.9022434615824064</v>
      </c>
      <c r="FM160" s="136">
        <f t="shared" si="1213"/>
        <v>3.4176345441887985</v>
      </c>
      <c r="FN160" s="136">
        <f t="shared" si="1214"/>
        <v>1.7269966654621782</v>
      </c>
      <c r="FO160" s="110">
        <f t="shared" si="1215"/>
        <v>1.7014179278548895</v>
      </c>
      <c r="FQ160">
        <v>0.95</v>
      </c>
      <c r="FR160" s="64">
        <f t="shared" si="1249"/>
        <v>1.1249507329128525</v>
      </c>
      <c r="FS160" s="479"/>
      <c r="FT160" s="18"/>
      <c r="FU160" s="481"/>
      <c r="FV160" s="504"/>
      <c r="FW160" s="18"/>
      <c r="FX160" s="18"/>
      <c r="FY160" s="18"/>
      <c r="FZ160" s="18"/>
      <c r="GB160" s="18"/>
      <c r="GC160" s="481"/>
      <c r="GD160" s="8"/>
      <c r="GE160" s="8"/>
      <c r="GF160" s="8"/>
      <c r="GG160" s="8"/>
      <c r="GI160" s="18"/>
      <c r="GJ160" s="18"/>
      <c r="GK160" s="18"/>
      <c r="GL160" s="18"/>
      <c r="GM160" s="18"/>
      <c r="GN160" s="18"/>
      <c r="GO160" s="18"/>
      <c r="GP160" s="18"/>
    </row>
    <row r="161" spans="1:198" ht="15.6" x14ac:dyDescent="0.3">
      <c r="A161" s="62" t="s">
        <v>123</v>
      </c>
      <c r="B161" s="223"/>
      <c r="C161" s="63" t="s">
        <v>22</v>
      </c>
      <c r="D161" s="63"/>
      <c r="E161" s="63"/>
      <c r="F161" s="63"/>
      <c r="G161" s="56"/>
      <c r="H161" s="209">
        <f t="shared" si="1256"/>
        <v>85.999999999999986</v>
      </c>
      <c r="I161" s="65">
        <f t="shared" si="1257"/>
        <v>3</v>
      </c>
      <c r="J161" s="228">
        <f t="shared" si="1258"/>
        <v>54.400000000000006</v>
      </c>
      <c r="K161" s="119">
        <f t="shared" si="1259"/>
        <v>1.1487420183657167</v>
      </c>
      <c r="L161" s="119">
        <f t="shared" si="1260"/>
        <v>1.1754058184975384</v>
      </c>
      <c r="M161" s="95">
        <f t="shared" si="1261"/>
        <v>0.79687499999999989</v>
      </c>
      <c r="N161" s="265">
        <f t="shared" si="1262"/>
        <v>1.0022201417492413</v>
      </c>
      <c r="O161" s="147"/>
      <c r="P161" s="147"/>
      <c r="Q161" s="147"/>
      <c r="R161" s="147"/>
      <c r="S161" s="169">
        <v>11</v>
      </c>
      <c r="T161" s="169">
        <v>12.4</v>
      </c>
      <c r="U161" s="148"/>
      <c r="V161" s="184">
        <f>V$154</f>
        <v>31.000000000000004</v>
      </c>
      <c r="W161" s="148"/>
      <c r="X161" s="148"/>
      <c r="Y161" s="147"/>
      <c r="Z161" s="147"/>
      <c r="AA161" s="147"/>
      <c r="AB161" s="147"/>
      <c r="AC161" s="147"/>
      <c r="AD161" s="147"/>
      <c r="AE161" s="260">
        <f t="shared" ref="AE161" si="1321">AE160</f>
        <v>8.5299999999999994</v>
      </c>
      <c r="AF161" s="375">
        <f t="shared" si="1264"/>
        <v>0</v>
      </c>
      <c r="AG161" s="377"/>
      <c r="AH161" s="375">
        <f t="shared" si="1264"/>
        <v>0</v>
      </c>
      <c r="AI161" s="377"/>
      <c r="AJ161" s="295" t="str">
        <f t="shared" ref="AJ161" si="1322" xml:space="preserve"> AJ160</f>
        <v>Lystb</v>
      </c>
      <c r="AK161" s="47">
        <f>VLOOKUP(AJ161,Skrogform!$1:$1048576,3,FALSE)</f>
        <v>0.98</v>
      </c>
      <c r="AL161" s="66">
        <f t="shared" ref="AL161:AT161" si="1323">AL160</f>
        <v>8.5299999999999994</v>
      </c>
      <c r="AM161" s="66">
        <f t="shared" si="1323"/>
        <v>8.3800000000000008</v>
      </c>
      <c r="AN161" s="66">
        <f t="shared" si="1323"/>
        <v>2.86</v>
      </c>
      <c r="AO161" s="66">
        <f t="shared" si="1323"/>
        <v>1.8</v>
      </c>
      <c r="AP161" s="66">
        <f t="shared" si="1323"/>
        <v>9</v>
      </c>
      <c r="AQ161" s="66">
        <f t="shared" si="1323"/>
        <v>5</v>
      </c>
      <c r="AR161" s="66">
        <f t="shared" si="1323"/>
        <v>0.5</v>
      </c>
      <c r="AS161" s="284">
        <f t="shared" si="1323"/>
        <v>0</v>
      </c>
      <c r="AT161" s="284">
        <f t="shared" si="1323"/>
        <v>0</v>
      </c>
      <c r="AU161" s="284">
        <f t="shared" ref="AU161:AV161" si="1324">AU160</f>
        <v>100</v>
      </c>
      <c r="AV161" s="284">
        <f t="shared" si="1324"/>
        <v>100</v>
      </c>
      <c r="AW161" s="284"/>
      <c r="AX161" s="284">
        <f t="shared" si="1268"/>
        <v>0</v>
      </c>
      <c r="AY161" s="68"/>
      <c r="AZ161" s="68"/>
      <c r="BA161" s="289"/>
      <c r="BB161" s="68"/>
      <c r="BC161" s="179"/>
      <c r="BD161" s="68"/>
      <c r="BE161" s="68"/>
      <c r="BF161" s="67" t="str">
        <f t="shared" ref="BF161:BH161" si="1325" xml:space="preserve"> BF160</f>
        <v>Seilrett</v>
      </c>
      <c r="BG161" s="295">
        <f t="shared" si="1325"/>
        <v>3</v>
      </c>
      <c r="BH161" s="295">
        <f t="shared" si="1325"/>
        <v>0</v>
      </c>
      <c r="BI161" s="47">
        <f t="shared" si="1095"/>
        <v>1</v>
      </c>
      <c r="BJ161" s="61">
        <f t="shared" si="1291"/>
        <v>0</v>
      </c>
      <c r="BK161" s="61"/>
      <c r="BM161" s="51">
        <f t="shared" si="1270"/>
        <v>0</v>
      </c>
      <c r="BN161" s="51">
        <f t="shared" si="1270"/>
        <v>0</v>
      </c>
      <c r="BO161" s="51">
        <f t="shared" si="1270"/>
        <v>0</v>
      </c>
      <c r="BP161" s="51">
        <f t="shared" si="1270"/>
        <v>0</v>
      </c>
      <c r="BQ161" s="51">
        <f t="shared" si="1270"/>
        <v>11</v>
      </c>
      <c r="BR161" s="51">
        <f t="shared" si="1270"/>
        <v>12.4</v>
      </c>
      <c r="BS161" s="52">
        <f t="shared" si="1271"/>
        <v>-3.3</v>
      </c>
      <c r="BT161" s="88">
        <f t="shared" si="1272"/>
        <v>0</v>
      </c>
      <c r="BU161" s="88">
        <f t="shared" si="1272"/>
        <v>23.250000000000004</v>
      </c>
      <c r="BV161" s="88">
        <f t="shared" si="1272"/>
        <v>0</v>
      </c>
      <c r="BW161" s="88">
        <f t="shared" si="1272"/>
        <v>0</v>
      </c>
      <c r="BX161" s="88">
        <f t="shared" si="1272"/>
        <v>0</v>
      </c>
      <c r="BY161" s="88">
        <f t="shared" si="1272"/>
        <v>0</v>
      </c>
      <c r="BZ161" s="88">
        <f t="shared" si="1272"/>
        <v>0</v>
      </c>
      <c r="CA161" s="88">
        <f t="shared" si="1272"/>
        <v>0</v>
      </c>
      <c r="CB161" s="88">
        <f t="shared" si="1272"/>
        <v>0</v>
      </c>
      <c r="CC161" s="88">
        <f t="shared" si="1272"/>
        <v>0</v>
      </c>
      <c r="CD161" s="103">
        <f t="shared" si="1273"/>
        <v>43.35</v>
      </c>
      <c r="CE161" s="52"/>
      <c r="CF161" s="107">
        <f t="shared" si="1274"/>
        <v>54.400000000000006</v>
      </c>
      <c r="CG161" s="104">
        <f t="shared" si="1275"/>
        <v>0.79687499999999989</v>
      </c>
      <c r="CH161" s="53">
        <f t="shared" si="1276"/>
        <v>0.77465952005285899</v>
      </c>
      <c r="CI161" s="119">
        <f t="shared" si="1277"/>
        <v>1.1487420183657167</v>
      </c>
      <c r="CJ161" s="53">
        <f t="shared" si="1278"/>
        <v>1.1754058184975384</v>
      </c>
      <c r="CK161" s="209"/>
      <c r="CL161" s="209">
        <f t="shared" si="1279"/>
        <v>85.999999999999986</v>
      </c>
      <c r="CM161" s="110">
        <f t="shared" si="1189"/>
        <v>0.86086328629028952</v>
      </c>
      <c r="CN161" s="64">
        <f>IF(SeilBeregnet=0,"-",(SeilBeregnet)^(1/2)*StHfaktor/(Depl+DeplTillegg/1000+Vann/1000+Diesel/1000*0.84)^(1/3))</f>
        <v>3.1284437049722968</v>
      </c>
      <c r="CO161" s="64">
        <f t="shared" si="1140"/>
        <v>1.719387596295177</v>
      </c>
      <c r="CP161" s="64">
        <f t="shared" si="1141"/>
        <v>1.7014179278548895</v>
      </c>
      <c r="CQ161" s="110">
        <f t="shared" si="1142"/>
        <v>1.0022201417492413</v>
      </c>
      <c r="CR161" s="172" t="str">
        <f t="shared" si="1297"/>
        <v>-</v>
      </c>
      <c r="CS161" s="162"/>
      <c r="CT161" s="172" t="str">
        <f t="shared" si="1298"/>
        <v>-</v>
      </c>
      <c r="CU161" s="164"/>
      <c r="CV161" s="195" t="s">
        <v>145</v>
      </c>
      <c r="CW161" s="64">
        <v>0.76</v>
      </c>
      <c r="CX161" s="64">
        <v>0.8</v>
      </c>
      <c r="CY161" s="64">
        <v>0.81</v>
      </c>
      <c r="CZ161" s="154">
        <v>0.79</v>
      </c>
      <c r="DA161" s="64">
        <f t="shared" si="1096"/>
        <v>2.2101391924363338</v>
      </c>
      <c r="DB161" s="49">
        <f t="shared" si="1097"/>
        <v>14.705882352941178</v>
      </c>
      <c r="DC161" s="50">
        <f t="shared" si="1098"/>
        <v>0</v>
      </c>
      <c r="DE161" s="110">
        <f>IF(SeilBeregnet=0,"-",DE$7*(DG:DG+DE$6)*DL:DL*PropF+ErfaringsF+Dyp_F)</f>
        <v>0.84074634935633163</v>
      </c>
      <c r="DF161" s="144" t="str">
        <f t="shared" si="1161"/>
        <v>-</v>
      </c>
      <c r="DG161" s="110">
        <f t="shared" si="1099"/>
        <v>4.8925200237255959</v>
      </c>
      <c r="DH161" s="136">
        <f t="shared" si="1280"/>
        <v>3.1655233582634175</v>
      </c>
      <c r="DI161" s="136">
        <f t="shared" si="1281"/>
        <v>0</v>
      </c>
      <c r="DJ161" s="136">
        <f t="shared" si="1282"/>
        <v>0</v>
      </c>
      <c r="DK161" s="136">
        <f t="shared" si="1283"/>
        <v>1.7269966654621782</v>
      </c>
      <c r="DL161" s="110">
        <f t="shared" si="1284"/>
        <v>1.7014179278548895</v>
      </c>
      <c r="DM161" s="136">
        <f t="shared" si="1285"/>
        <v>2.2968452802704382</v>
      </c>
      <c r="DO161" s="110">
        <f t="shared" si="467"/>
        <v>0.87843192478600951</v>
      </c>
      <c r="DP161" s="110">
        <f t="shared" si="1100"/>
        <v>0.86454247350738622</v>
      </c>
      <c r="DR161" s="110">
        <f t="shared" si="1101"/>
        <v>0.8764843278258575</v>
      </c>
      <c r="DS161" s="125" t="str">
        <f t="shared" si="1162"/>
        <v>-</v>
      </c>
      <c r="DT161" s="110">
        <f t="shared" si="1102"/>
        <v>0.8538266807217274</v>
      </c>
      <c r="DU161" s="125" t="str">
        <f t="shared" si="1163"/>
        <v>-</v>
      </c>
      <c r="DV161" s="110">
        <f t="shared" si="214"/>
        <v>3.1653147041687038</v>
      </c>
      <c r="DW161" s="110">
        <f t="shared" si="215"/>
        <v>2.0310341765391291</v>
      </c>
      <c r="DX161" s="110">
        <f t="shared" si="1196"/>
        <v>1.5593528329588258</v>
      </c>
      <c r="DZ161" s="110">
        <f t="shared" si="1103"/>
        <v>0.85816060922705695</v>
      </c>
      <c r="EB161" s="110">
        <f t="shared" si="217"/>
        <v>3.1653147041687038</v>
      </c>
      <c r="EC161" s="110">
        <f t="shared" si="1197"/>
        <v>2.0311637107626899</v>
      </c>
      <c r="ED161" s="110">
        <f t="shared" si="1198"/>
        <v>1.8081458776238697</v>
      </c>
      <c r="EE161" s="110">
        <f t="shared" si="1104"/>
        <v>0.84957836663209407</v>
      </c>
      <c r="EG161" s="110">
        <f t="shared" si="1199"/>
        <v>4.9358424511516956</v>
      </c>
      <c r="EH161" s="110">
        <f t="shared" si="219"/>
        <v>3.1653147041687038</v>
      </c>
      <c r="EI161" s="110">
        <f t="shared" si="1200"/>
        <v>1.5593528329588258</v>
      </c>
      <c r="EJ161" s="110">
        <f t="shared" si="1201"/>
        <v>1.7014179278548895</v>
      </c>
      <c r="EK161" s="110">
        <f>IF(SeilBeregnet=0,"-",EK$7*(EK$4*EM:EM+EK$6)*EP:EP*PropF+ErfaringsF+Dyp_F)</f>
        <v>0.84396820243174353</v>
      </c>
      <c r="EM161" s="110">
        <f>IF(SeilBeregnet=0,EM160,(EN:EN*EO:EO)^EM$3)</f>
        <v>1.7758723202441651</v>
      </c>
      <c r="EN161" s="110">
        <f t="shared" si="220"/>
        <v>3.1653147041687038</v>
      </c>
      <c r="EO161" s="110">
        <f t="shared" si="1202"/>
        <v>0.9963377397059312</v>
      </c>
      <c r="EP161" s="110">
        <f t="shared" si="1203"/>
        <v>1.7036974657315185</v>
      </c>
      <c r="EQ161" s="110">
        <f>IF(SeilBeregnet=0,"-",EQ$7*(ES:ES+EQ$6)*EV:EV*PropF+ErfaringsF+Dyp_F)</f>
        <v>0.82793547578478577</v>
      </c>
      <c r="ES161" s="110">
        <f>(ET:ET*EU:EU)^ES$3</f>
        <v>1.775930851063324</v>
      </c>
      <c r="ET161" s="110">
        <f t="shared" si="221"/>
        <v>3.1655233582634175</v>
      </c>
      <c r="EU161" s="110">
        <f t="shared" si="1204"/>
        <v>0.9963377397059312</v>
      </c>
      <c r="EV161" s="110">
        <f t="shared" si="1205"/>
        <v>1.7036974657315185</v>
      </c>
      <c r="EW161" s="110">
        <f>IF(SeilBeregnet=0,"-",EW$7*(EY:EY+EW$6)*FB:FB*PropF+ErfaringsF+Dyp_F)</f>
        <v>0.84246669903527827</v>
      </c>
      <c r="EX161" s="144" t="str">
        <f t="shared" si="1246"/>
        <v>-</v>
      </c>
      <c r="EY161" s="110">
        <f>(EZ:EZ*FA:FA)^EY$3</f>
        <v>3.1423798737291571</v>
      </c>
      <c r="EZ161" s="136">
        <f t="shared" si="1206"/>
        <v>3.1655233582634175</v>
      </c>
      <c r="FA161" s="136">
        <f t="shared" si="1207"/>
        <v>0.99268889156232398</v>
      </c>
      <c r="FB161" s="110">
        <f t="shared" si="1208"/>
        <v>0.95805949060290141</v>
      </c>
      <c r="FC161" s="110">
        <f>IF(SeilBeregnet=0,"-",FC$7*(FE:FE+FC$6)*FI:FI*PropF+ErfaringsF+Dyp_F)</f>
        <v>0.84578853450164948</v>
      </c>
      <c r="FD161" s="144" t="str">
        <f t="shared" si="1247"/>
        <v>-</v>
      </c>
      <c r="FE161" s="110">
        <f>(FF:FF+FG:FG+FH:FH)^FE$3+FE$7</f>
        <v>5.1782087693762646</v>
      </c>
      <c r="FF161" s="136">
        <f t="shared" si="1209"/>
        <v>3.1655233582634175</v>
      </c>
      <c r="FG161" s="136">
        <f t="shared" si="1210"/>
        <v>0.78568874565066915</v>
      </c>
      <c r="FH161" s="136">
        <f t="shared" si="1211"/>
        <v>1.7269966654621782</v>
      </c>
      <c r="FI161" s="110">
        <f t="shared" si="1212"/>
        <v>1.7014179278548895</v>
      </c>
      <c r="FJ161" s="110">
        <f>IF(SeilBeregnet=0,"-",FJ$7*(FL:FL+FJ$6)*FO:FO*PropF+ErfaringsF+Dyp_F)</f>
        <v>0.83756740032982513</v>
      </c>
      <c r="FK161" s="144" t="str">
        <f t="shared" si="1248"/>
        <v>-</v>
      </c>
      <c r="FL161" s="110">
        <f>(FM:FM*FN:FN)^FL$3</f>
        <v>5.4668482841635582</v>
      </c>
      <c r="FM161" s="136">
        <f t="shared" si="1213"/>
        <v>3.1655233582634175</v>
      </c>
      <c r="FN161" s="136">
        <f t="shared" si="1214"/>
        <v>1.7269966654621782</v>
      </c>
      <c r="FO161" s="110">
        <f t="shared" si="1215"/>
        <v>1.7014179278548895</v>
      </c>
      <c r="FQ161">
        <v>0.95</v>
      </c>
      <c r="FR161" s="64">
        <f t="shared" si="1249"/>
        <v>1.0868398241827162</v>
      </c>
      <c r="FS161" s="479"/>
      <c r="FT161" s="18"/>
      <c r="FU161" s="481"/>
      <c r="FV161" s="504"/>
      <c r="FW161" s="18"/>
      <c r="FX161" s="18"/>
      <c r="FY161" s="18"/>
      <c r="FZ161" s="18"/>
      <c r="GB161" s="18"/>
      <c r="GC161" s="481"/>
      <c r="GD161" s="8"/>
      <c r="GE161" s="8"/>
      <c r="GF161" s="8"/>
      <c r="GG161" s="8"/>
      <c r="GI161" s="18"/>
      <c r="GJ161" s="18"/>
      <c r="GK161" s="18"/>
      <c r="GL161" s="18"/>
      <c r="GM161" s="18"/>
      <c r="GN161" s="18"/>
      <c r="GO161" s="18"/>
      <c r="GP161" s="18"/>
    </row>
    <row r="162" spans="1:198" ht="15.6" x14ac:dyDescent="0.3">
      <c r="A162" s="62" t="s">
        <v>38</v>
      </c>
      <c r="B162" s="223"/>
      <c r="C162" s="63" t="s">
        <v>22</v>
      </c>
      <c r="D162" s="63"/>
      <c r="E162" s="63"/>
      <c r="F162" s="63"/>
      <c r="G162" s="56"/>
      <c r="H162" s="209">
        <f t="shared" si="1256"/>
        <v>81</v>
      </c>
      <c r="I162" s="65">
        <f t="shared" si="1257"/>
        <v>2</v>
      </c>
      <c r="J162" s="228">
        <f t="shared" si="1258"/>
        <v>43.400000000000006</v>
      </c>
      <c r="K162" s="119">
        <f t="shared" si="1259"/>
        <v>0.91645962494617839</v>
      </c>
      <c r="L162" s="119">
        <f t="shared" si="1260"/>
        <v>0.9377318478454626</v>
      </c>
      <c r="M162" s="95">
        <f t="shared" si="1261"/>
        <v>0.8214285714285714</v>
      </c>
      <c r="N162" s="265">
        <f t="shared" si="1262"/>
        <v>1.0022201417492413</v>
      </c>
      <c r="O162" s="147"/>
      <c r="P162" s="147"/>
      <c r="Q162" s="147"/>
      <c r="R162" s="147"/>
      <c r="S162" s="147"/>
      <c r="T162" s="169">
        <v>12.4</v>
      </c>
      <c r="U162" s="148"/>
      <c r="V162" s="184">
        <f>V$154</f>
        <v>31.000000000000004</v>
      </c>
      <c r="W162" s="148"/>
      <c r="X162" s="148"/>
      <c r="Y162" s="147"/>
      <c r="Z162" s="147"/>
      <c r="AA162" s="147"/>
      <c r="AB162" s="147"/>
      <c r="AC162" s="147"/>
      <c r="AD162" s="147"/>
      <c r="AE162" s="260">
        <f t="shared" ref="AE162" si="1326">AE161</f>
        <v>8.5299999999999994</v>
      </c>
      <c r="AF162" s="375">
        <f t="shared" si="1264"/>
        <v>0</v>
      </c>
      <c r="AG162" s="377"/>
      <c r="AH162" s="375">
        <f t="shared" si="1264"/>
        <v>0</v>
      </c>
      <c r="AI162" s="377"/>
      <c r="AJ162" s="295" t="str">
        <f t="shared" ref="AJ162" si="1327" xml:space="preserve"> AJ161</f>
        <v>Lystb</v>
      </c>
      <c r="AK162" s="47">
        <f>VLOOKUP(AJ162,Skrogform!$1:$1048576,3,FALSE)</f>
        <v>0.98</v>
      </c>
      <c r="AL162" s="66">
        <f t="shared" ref="AL162:AT162" si="1328">AL161</f>
        <v>8.5299999999999994</v>
      </c>
      <c r="AM162" s="66">
        <f t="shared" si="1328"/>
        <v>8.3800000000000008</v>
      </c>
      <c r="AN162" s="66">
        <f t="shared" si="1328"/>
        <v>2.86</v>
      </c>
      <c r="AO162" s="66">
        <f t="shared" si="1328"/>
        <v>1.8</v>
      </c>
      <c r="AP162" s="66">
        <f t="shared" si="1328"/>
        <v>9</v>
      </c>
      <c r="AQ162" s="66">
        <f t="shared" si="1328"/>
        <v>5</v>
      </c>
      <c r="AR162" s="66">
        <f t="shared" si="1328"/>
        <v>0.5</v>
      </c>
      <c r="AS162" s="284">
        <f t="shared" si="1328"/>
        <v>0</v>
      </c>
      <c r="AT162" s="284">
        <f t="shared" si="1328"/>
        <v>0</v>
      </c>
      <c r="AU162" s="284">
        <f t="shared" ref="AU162:AV162" si="1329">AU161</f>
        <v>100</v>
      </c>
      <c r="AV162" s="284">
        <f t="shared" si="1329"/>
        <v>100</v>
      </c>
      <c r="AW162" s="284"/>
      <c r="AX162" s="284">
        <f t="shared" si="1268"/>
        <v>0</v>
      </c>
      <c r="AY162" s="68"/>
      <c r="AZ162" s="68"/>
      <c r="BA162" s="289"/>
      <c r="BB162" s="68"/>
      <c r="BC162" s="179"/>
      <c r="BD162" s="68"/>
      <c r="BE162" s="68"/>
      <c r="BF162" s="67" t="str">
        <f t="shared" ref="BF162:BH162" si="1330" xml:space="preserve"> BF161</f>
        <v>Seilrett</v>
      </c>
      <c r="BG162" s="295">
        <f t="shared" si="1330"/>
        <v>3</v>
      </c>
      <c r="BH162" s="295">
        <f t="shared" si="1330"/>
        <v>0</v>
      </c>
      <c r="BI162" s="47">
        <f t="shared" si="1095"/>
        <v>1</v>
      </c>
      <c r="BJ162" s="61">
        <f t="shared" si="1291"/>
        <v>0</v>
      </c>
      <c r="BK162" s="61"/>
      <c r="BM162" s="51">
        <f t="shared" si="1270"/>
        <v>0</v>
      </c>
      <c r="BN162" s="51">
        <f t="shared" si="1270"/>
        <v>0</v>
      </c>
      <c r="BO162" s="51">
        <f t="shared" si="1270"/>
        <v>0</v>
      </c>
      <c r="BP162" s="51">
        <f t="shared" si="1270"/>
        <v>0</v>
      </c>
      <c r="BQ162" s="51">
        <f t="shared" si="1270"/>
        <v>0</v>
      </c>
      <c r="BR162" s="51">
        <f t="shared" si="1270"/>
        <v>12.4</v>
      </c>
      <c r="BS162" s="52">
        <f t="shared" si="1271"/>
        <v>0</v>
      </c>
      <c r="BT162" s="88">
        <f t="shared" si="1272"/>
        <v>0</v>
      </c>
      <c r="BU162" s="88">
        <f t="shared" si="1272"/>
        <v>23.250000000000004</v>
      </c>
      <c r="BV162" s="88">
        <f t="shared" si="1272"/>
        <v>0</v>
      </c>
      <c r="BW162" s="88">
        <f t="shared" si="1272"/>
        <v>0</v>
      </c>
      <c r="BX162" s="88">
        <f t="shared" si="1272"/>
        <v>0</v>
      </c>
      <c r="BY162" s="88">
        <f t="shared" si="1272"/>
        <v>0</v>
      </c>
      <c r="BZ162" s="88">
        <f t="shared" si="1272"/>
        <v>0</v>
      </c>
      <c r="CA162" s="88">
        <f t="shared" si="1272"/>
        <v>0</v>
      </c>
      <c r="CB162" s="88">
        <f t="shared" si="1272"/>
        <v>0</v>
      </c>
      <c r="CC162" s="88">
        <f t="shared" si="1272"/>
        <v>0</v>
      </c>
      <c r="CD162" s="103">
        <f t="shared" si="1273"/>
        <v>35.650000000000006</v>
      </c>
      <c r="CE162" s="52"/>
      <c r="CF162" s="107">
        <f t="shared" si="1274"/>
        <v>43.400000000000006</v>
      </c>
      <c r="CG162" s="104">
        <f t="shared" si="1275"/>
        <v>0.8214285714285714</v>
      </c>
      <c r="CH162" s="53">
        <f t="shared" si="1276"/>
        <v>0.61801880827746469</v>
      </c>
      <c r="CI162" s="119">
        <f t="shared" si="1277"/>
        <v>0.91645962494617839</v>
      </c>
      <c r="CJ162" s="53">
        <f t="shared" si="1278"/>
        <v>0.9377318478454626</v>
      </c>
      <c r="CK162" s="209"/>
      <c r="CL162" s="209">
        <f t="shared" si="1279"/>
        <v>81</v>
      </c>
      <c r="CM162" s="110">
        <f t="shared" si="1189"/>
        <v>0.80911449152833814</v>
      </c>
      <c r="CN162" s="64">
        <f>IF(SeilBeregnet=0,"-",(SeilBeregnet)^(1/2)*StHfaktor/(Depl+DeplTillegg/1000+Vann/1000+Diesel/1000*0.84)^(1/3))</f>
        <v>2.8370275985532118</v>
      </c>
      <c r="CO162" s="64">
        <f t="shared" si="1140"/>
        <v>1.719387596295177</v>
      </c>
      <c r="CP162" s="64">
        <f t="shared" si="1141"/>
        <v>1.7014179278548895</v>
      </c>
      <c r="CQ162" s="110">
        <f t="shared" si="1142"/>
        <v>1.0022201417492413</v>
      </c>
      <c r="CR162" s="172" t="str">
        <f t="shared" si="1297"/>
        <v>-</v>
      </c>
      <c r="CS162" s="162"/>
      <c r="CT162" s="172" t="str">
        <f t="shared" si="1298"/>
        <v>-</v>
      </c>
      <c r="CU162" s="164"/>
      <c r="CV162" s="195" t="s">
        <v>145</v>
      </c>
      <c r="CW162" s="64">
        <v>0.71</v>
      </c>
      <c r="CX162" s="64">
        <v>0.77</v>
      </c>
      <c r="CY162" s="64">
        <v>0.76</v>
      </c>
      <c r="CZ162" s="154">
        <v>0.79</v>
      </c>
      <c r="DA162" s="64">
        <f t="shared" si="1096"/>
        <v>2.2101391924363338</v>
      </c>
      <c r="DB162" s="49">
        <f t="shared" si="1097"/>
        <v>14.705882352941178</v>
      </c>
      <c r="DC162" s="50">
        <f t="shared" si="1098"/>
        <v>0</v>
      </c>
      <c r="DE162" s="110">
        <f>IF(SeilBeregnet=0,"-",DE$7*(DG:DG+DE$6)*DL:DL*PropF+ErfaringsF+Dyp_F)</f>
        <v>0.7900749255235322</v>
      </c>
      <c r="DF162" s="144" t="str">
        <f t="shared" si="1161"/>
        <v>-</v>
      </c>
      <c r="DG162" s="110">
        <f t="shared" si="1099"/>
        <v>4.5976499289313022</v>
      </c>
      <c r="DH162" s="136">
        <f t="shared" si="1280"/>
        <v>2.8706532634691238</v>
      </c>
      <c r="DI162" s="136">
        <f t="shared" si="1281"/>
        <v>0</v>
      </c>
      <c r="DJ162" s="136">
        <f t="shared" si="1282"/>
        <v>0</v>
      </c>
      <c r="DK162" s="136">
        <f t="shared" si="1283"/>
        <v>1.7269966654621782</v>
      </c>
      <c r="DL162" s="110">
        <f t="shared" si="1284"/>
        <v>1.7014179278548895</v>
      </c>
      <c r="DM162" s="136">
        <f t="shared" si="1285"/>
        <v>2.2968452802704382</v>
      </c>
      <c r="DO162" s="110">
        <f t="shared" si="467"/>
        <v>0.82562703217177347</v>
      </c>
      <c r="DP162" s="110">
        <f t="shared" si="1100"/>
        <v>0.80238958856193099</v>
      </c>
      <c r="DR162" s="110">
        <f t="shared" si="1101"/>
        <v>0.82613115455299313</v>
      </c>
      <c r="DS162" s="125" t="str">
        <f t="shared" si="1162"/>
        <v>-</v>
      </c>
      <c r="DT162" s="110">
        <f t="shared" si="1102"/>
        <v>0.79530709400859223</v>
      </c>
      <c r="DU162" s="125" t="str">
        <f t="shared" si="1163"/>
        <v>-</v>
      </c>
      <c r="DV162" s="110">
        <f t="shared" si="214"/>
        <v>2.8704640456083985</v>
      </c>
      <c r="DW162" s="110">
        <f t="shared" si="215"/>
        <v>2.0310341765391291</v>
      </c>
      <c r="DX162" s="110">
        <f t="shared" si="1196"/>
        <v>1.5593528329588258</v>
      </c>
      <c r="DZ162" s="110">
        <f t="shared" si="1103"/>
        <v>0.80543538793048008</v>
      </c>
      <c r="EB162" s="110">
        <f t="shared" si="217"/>
        <v>2.8704640456083985</v>
      </c>
      <c r="EC162" s="110">
        <f t="shared" si="1197"/>
        <v>2.0311637107626899</v>
      </c>
      <c r="ED162" s="110">
        <f t="shared" si="1198"/>
        <v>1.8081458776238697</v>
      </c>
      <c r="EE162" s="110">
        <f t="shared" si="1104"/>
        <v>0.79325991303021504</v>
      </c>
      <c r="EG162" s="110">
        <f t="shared" si="1199"/>
        <v>4.476066241425908</v>
      </c>
      <c r="EH162" s="110">
        <f t="shared" si="219"/>
        <v>2.8704640456083985</v>
      </c>
      <c r="EI162" s="110">
        <f t="shared" si="1200"/>
        <v>1.5593528329588258</v>
      </c>
      <c r="EJ162" s="110">
        <f t="shared" si="1201"/>
        <v>1.7014179278548895</v>
      </c>
      <c r="EK162" s="110">
        <f>IF(SeilBeregnet=0,"-",EK$7*(EK$4*EM:EM+EK$6)*EP:EP*PropF+ErfaringsF+Dyp_F)</f>
        <v>0.78791863411094043</v>
      </c>
      <c r="EM162" s="110">
        <f>IF(SeilBeregnet=0,EM161,(EN:EN*EO:EO)^EM$3)</f>
        <v>1.6911391601842276</v>
      </c>
      <c r="EN162" s="110">
        <f t="shared" si="220"/>
        <v>2.8704640456083985</v>
      </c>
      <c r="EO162" s="110">
        <f t="shared" si="1202"/>
        <v>0.9963377397059312</v>
      </c>
      <c r="EP162" s="110">
        <f t="shared" si="1203"/>
        <v>1.7036974657315185</v>
      </c>
      <c r="EQ162" s="110">
        <f>IF(SeilBeregnet=0,"-",EQ$7*(ES:ES+EQ$6)*EV:EV*PropF+ErfaringsF+Dyp_F)</f>
        <v>0.78843174097837387</v>
      </c>
      <c r="ES162" s="110">
        <f>(ET:ET*EU:EU)^ES$3</f>
        <v>1.6911948982906382</v>
      </c>
      <c r="ET162" s="110">
        <f t="shared" si="221"/>
        <v>2.8706532634691238</v>
      </c>
      <c r="EU162" s="110">
        <f t="shared" si="1204"/>
        <v>0.9963377397059312</v>
      </c>
      <c r="EV162" s="110">
        <f t="shared" si="1205"/>
        <v>1.7036974657315185</v>
      </c>
      <c r="EW162" s="110">
        <f>IF(SeilBeregnet=0,"-",EW$7*(EY:EY+EW$6)*FB:FB*PropF+ErfaringsF+Dyp_F)</f>
        <v>0.79451185540180114</v>
      </c>
      <c r="EX162" s="144" t="str">
        <f t="shared" si="1246"/>
        <v>-</v>
      </c>
      <c r="EY162" s="110">
        <f>(EZ:EZ*FA:FA)^EY$3</f>
        <v>2.8496656061729326</v>
      </c>
      <c r="EZ162" s="136">
        <f t="shared" si="1206"/>
        <v>2.8706532634691238</v>
      </c>
      <c r="FA162" s="136">
        <f t="shared" si="1207"/>
        <v>0.99268889156232398</v>
      </c>
      <c r="FB162" s="110">
        <f t="shared" si="1208"/>
        <v>0.95805949060290141</v>
      </c>
      <c r="FC162" s="110">
        <f>IF(SeilBeregnet=0,"-",FC$7*(FE:FE+FC$6)*FI:FI*PropF+ErfaringsF+Dyp_F)</f>
        <v>0.78567146693023504</v>
      </c>
      <c r="FD162" s="144" t="str">
        <f t="shared" si="1247"/>
        <v>-</v>
      </c>
      <c r="FE162" s="110">
        <f>(FF:FF+FG:FG+FH:FH)^FE$3+FE$7</f>
        <v>4.8101513722978027</v>
      </c>
      <c r="FF162" s="136">
        <f t="shared" si="1209"/>
        <v>2.8706532634691238</v>
      </c>
      <c r="FG162" s="136">
        <f t="shared" si="1210"/>
        <v>0.71250144336650023</v>
      </c>
      <c r="FH162" s="136">
        <f t="shared" si="1211"/>
        <v>1.7269966654621782</v>
      </c>
      <c r="FI162" s="110">
        <f t="shared" si="1212"/>
        <v>1.7014179278548895</v>
      </c>
      <c r="FJ162" s="110">
        <f>IF(SeilBeregnet=0,"-",FJ$7*(FL:FL+FJ$6)*FO:FO*PropF+ErfaringsF+Dyp_F)</f>
        <v>0.79251306607576377</v>
      </c>
      <c r="FK162" s="144" t="str">
        <f t="shared" si="1248"/>
        <v>-</v>
      </c>
      <c r="FL162" s="110">
        <f>(FM:FM*FN:FN)^FL$3</f>
        <v>4.9576086137092963</v>
      </c>
      <c r="FM162" s="136">
        <f t="shared" si="1213"/>
        <v>2.8706532634691238</v>
      </c>
      <c r="FN162" s="136">
        <f t="shared" si="1214"/>
        <v>1.7269966654621782</v>
      </c>
      <c r="FO162" s="110">
        <f t="shared" si="1215"/>
        <v>1.7014179278548895</v>
      </c>
      <c r="FQ162">
        <v>0.95</v>
      </c>
      <c r="FR162" s="64">
        <f t="shared" si="1249"/>
        <v>1.0422651765775199</v>
      </c>
      <c r="FS162" s="479"/>
      <c r="FT162" s="18"/>
      <c r="FU162" s="481"/>
      <c r="FV162" s="504"/>
      <c r="FW162" s="18"/>
      <c r="FX162" s="18"/>
      <c r="FY162" s="18"/>
      <c r="FZ162" s="18"/>
      <c r="GB162" s="18"/>
      <c r="GC162" s="481"/>
      <c r="GD162" s="8"/>
      <c r="GE162" s="8"/>
      <c r="GF162" s="8"/>
      <c r="GG162" s="8"/>
      <c r="GI162" s="18"/>
      <c r="GJ162" s="18"/>
      <c r="GK162" s="18"/>
      <c r="GL162" s="18"/>
      <c r="GM162" s="18"/>
      <c r="GN162" s="18"/>
      <c r="GO162" s="18"/>
      <c r="GP162" s="18"/>
    </row>
    <row r="163" spans="1:198" ht="15.6" x14ac:dyDescent="0.3">
      <c r="A163" s="54" t="s">
        <v>79</v>
      </c>
      <c r="B163" s="223">
        <f t="shared" ref="B163:B164" si="1331">Loa/0.3048</f>
        <v>38.385826771653541</v>
      </c>
      <c r="C163" s="55" t="s">
        <v>22</v>
      </c>
      <c r="D163" s="55"/>
      <c r="E163" s="55"/>
      <c r="F163" s="55"/>
      <c r="G163" s="56"/>
      <c r="H163" s="209"/>
      <c r="I163" s="126" t="str">
        <f>A163</f>
        <v>LØPEREN</v>
      </c>
      <c r="J163" s="229"/>
      <c r="K163" s="119"/>
      <c r="L163" s="119"/>
      <c r="M163" s="95"/>
      <c r="N163" s="265"/>
      <c r="O163" s="169"/>
      <c r="P163" s="169"/>
      <c r="Q163" s="169">
        <v>21.1</v>
      </c>
      <c r="R163" s="169">
        <v>11.4</v>
      </c>
      <c r="S163" s="169"/>
      <c r="T163" s="169">
        <v>17.3</v>
      </c>
      <c r="U163" s="169">
        <v>39</v>
      </c>
      <c r="V163" s="169"/>
      <c r="W163" s="169"/>
      <c r="X163" s="169"/>
      <c r="Y163" s="169">
        <v>14</v>
      </c>
      <c r="Z163" s="169">
        <v>10.220000000000001</v>
      </c>
      <c r="AA163" s="169"/>
      <c r="AB163" s="169"/>
      <c r="AC163" s="169"/>
      <c r="AD163" s="169"/>
      <c r="AE163" s="263">
        <v>9.9</v>
      </c>
      <c r="AF163" s="296"/>
      <c r="AG163" s="377"/>
      <c r="AH163" s="296"/>
      <c r="AI163" s="377"/>
      <c r="AJ163" s="296" t="s">
        <v>237</v>
      </c>
      <c r="AK163" s="47">
        <f>VLOOKUP(AJ163,Skrogform!$1:$1048576,3,FALSE)</f>
        <v>0.98</v>
      </c>
      <c r="AL163" s="57">
        <v>11.7</v>
      </c>
      <c r="AM163" s="57">
        <v>10.199999999999999</v>
      </c>
      <c r="AN163" s="57">
        <v>3.85</v>
      </c>
      <c r="AO163" s="57">
        <v>1.9</v>
      </c>
      <c r="AP163" s="57">
        <v>15.17</v>
      </c>
      <c r="AQ163" s="57">
        <v>4.2</v>
      </c>
      <c r="AR163" s="57">
        <v>1</v>
      </c>
      <c r="AS163" s="281">
        <v>38</v>
      </c>
      <c r="AT163" s="281">
        <v>200</v>
      </c>
      <c r="AU163" s="281">
        <f>ROUND(Depl*10,-2)</f>
        <v>200</v>
      </c>
      <c r="AV163" s="281">
        <f>ROUND(Depl*10,-2)</f>
        <v>200</v>
      </c>
      <c r="AW163" s="270">
        <f>Depl+Diesel/1000+Vann/1000</f>
        <v>15.569999999999999</v>
      </c>
      <c r="AX163" s="281"/>
      <c r="AY163" s="98">
        <f>Bredde/(Loa+Lwl)*2</f>
        <v>0.35159817351598177</v>
      </c>
      <c r="AZ163" s="98">
        <f>(Kjøl+Ballast)/Depl</f>
        <v>0.34278180619644033</v>
      </c>
      <c r="BA163" s="288">
        <f>BA$7*((Depl-Kjøl-Ballast-VektMotor/1000-VektAnnet/1000)/Loa/Lwl/Bredde)</f>
        <v>0.92005526287074557</v>
      </c>
      <c r="BB163" s="98">
        <f>BB$7*(Depl/Loa/Lwl/Lwl)</f>
        <v>0.93580968370254103</v>
      </c>
      <c r="BC163" s="178">
        <f>BC$7*(Depl/Loa/Lwl/Bredde)</f>
        <v>0.91642998158304301</v>
      </c>
      <c r="BD163" s="98">
        <f>BD$7*Bredde/(Loa+Lwl)*2</f>
        <v>1.0029999509009673</v>
      </c>
      <c r="BE163" s="98">
        <f>BE$7*(Dypg/Lwl)</f>
        <v>1.018840579710145</v>
      </c>
      <c r="BF163" s="58" t="s">
        <v>24</v>
      </c>
      <c r="BG163" s="296">
        <v>3</v>
      </c>
      <c r="BH163" s="296">
        <v>53</v>
      </c>
      <c r="BI163" s="47">
        <f t="shared" si="1095"/>
        <v>1</v>
      </c>
      <c r="BJ163" s="61"/>
      <c r="BK163" s="61"/>
      <c r="BM163" s="214"/>
      <c r="BN163" s="214" t="str">
        <f>$A163</f>
        <v>LØPEREN</v>
      </c>
      <c r="BO163" s="10"/>
      <c r="BP163" s="10"/>
      <c r="BQ163" s="10"/>
      <c r="BR163" s="10"/>
      <c r="BS163" s="52"/>
      <c r="BT163" s="214" t="str">
        <f>$A163</f>
        <v>LØPEREN</v>
      </c>
      <c r="BU163" s="10"/>
      <c r="BV163" s="10"/>
      <c r="BW163" s="10"/>
      <c r="BX163" s="10"/>
      <c r="BY163" s="10"/>
      <c r="BZ163" s="10"/>
      <c r="CA163" s="10"/>
      <c r="CB163" s="10"/>
      <c r="CC163" s="10"/>
      <c r="CD163" s="214"/>
      <c r="CE163" s="10"/>
      <c r="CF163" s="214" t="str">
        <f>$A163</f>
        <v>LØPEREN</v>
      </c>
      <c r="CG163" s="212"/>
      <c r="CH163" s="212"/>
      <c r="CI163" s="119"/>
      <c r="CJ163" s="212"/>
      <c r="CK163" s="208"/>
      <c r="CL163" s="208" t="s">
        <v>26</v>
      </c>
      <c r="CM163" s="110" t="str">
        <f t="shared" si="1189"/>
        <v>-</v>
      </c>
      <c r="CN163" s="64" t="str">
        <f>IF(SeilBeregnet=0,"-",(SeilBeregnet)^(1/2)*StHfaktor/(Depl+DeplTillegg/1000+Vann/1000+Diesel/1000*0.84)^(1/3))</f>
        <v>-</v>
      </c>
      <c r="CO163" s="64" t="str">
        <f t="shared" si="1140"/>
        <v>-</v>
      </c>
      <c r="CP163" s="64" t="str">
        <f t="shared" si="1141"/>
        <v>-</v>
      </c>
      <c r="CQ163" s="110" t="str">
        <f t="shared" si="1142"/>
        <v>-</v>
      </c>
      <c r="CR163" s="172">
        <f t="shared" si="1297"/>
        <v>0.96282352941176486</v>
      </c>
      <c r="CS163" s="162">
        <v>0.93</v>
      </c>
      <c r="CT163" s="172">
        <f>CT$7*CU163</f>
        <v>0.94947368421052636</v>
      </c>
      <c r="CU163" s="164">
        <v>1.23</v>
      </c>
      <c r="CV163" s="195" t="s">
        <v>145</v>
      </c>
      <c r="CW163" s="30" t="s">
        <v>26</v>
      </c>
      <c r="CX163" s="30" t="s">
        <v>26</v>
      </c>
      <c r="CY163" s="30" t="s">
        <v>26</v>
      </c>
      <c r="CZ163" s="153">
        <v>2022</v>
      </c>
      <c r="DA163" s="64" t="str">
        <f t="shared" si="1096"/>
        <v>-</v>
      </c>
      <c r="DB163" s="49">
        <f t="shared" si="1097"/>
        <v>12.624584717607974</v>
      </c>
      <c r="DC163" s="50">
        <f t="shared" si="1098"/>
        <v>0</v>
      </c>
      <c r="DE163" s="110" t="str">
        <f>IF(SeilBeregnet=0,"-",DE$7*(DG:DG+DE$6)*DL:DL*PropF+ErfaringsF+Dyp_F)</f>
        <v>-</v>
      </c>
      <c r="DF163" s="144" t="str">
        <f t="shared" ref="DF163" si="1332">IF($DQ163=0,"-",(DE163-$DO163)*100)</f>
        <v>-</v>
      </c>
      <c r="DG163" s="110">
        <f t="shared" si="1099"/>
        <v>5.144631209650977</v>
      </c>
      <c r="DH163" s="136">
        <f>IF(SeilBeregnet=0,DH160,(SeilBeregnet^0.5/(Depl^0.3333))^DH$3*DH$7)</f>
        <v>3.4176345441887985</v>
      </c>
      <c r="DI163" s="136">
        <f>IF(SeilBeregnet=0,DI160,(SeilBeregnet^0.5/Lwl)^DI$3*DI$7)</f>
        <v>0</v>
      </c>
      <c r="DJ163" s="136">
        <f>IF(SeilBeregnet=0,DJ160,(0.1*Loa/Depl^0.3333)^DJ$3*DJ$7)</f>
        <v>0</v>
      </c>
      <c r="DK163" s="136">
        <f>IF(SeilBeregnet=0,DK160,((Loa)/Bredde)^DK$3*DK$7)</f>
        <v>1.7269966654621782</v>
      </c>
      <c r="DL163" s="110">
        <f>IF(SeilBeregnet=0,DL160,(Lwl)^DL$3)</f>
        <v>1.7014179278548895</v>
      </c>
      <c r="DM163" s="136">
        <f>IF(SeilBeregnet=0,DM160,(Dypg/Loa)^DM$3*5*DM$7)</f>
        <v>2.2968452802704382</v>
      </c>
      <c r="DO163" s="110" t="str">
        <f t="shared" si="733"/>
        <v>-</v>
      </c>
      <c r="DP163" s="110" t="str">
        <f t="shared" si="1100"/>
        <v>-</v>
      </c>
      <c r="DR163" s="110" t="str">
        <f t="shared" si="1101"/>
        <v>-</v>
      </c>
      <c r="DS163" s="125" t="str">
        <f t="shared" ref="DS163" si="1333">IF($DQ163=0,"-",DR163-$DO163)</f>
        <v>-</v>
      </c>
      <c r="DT163" s="110" t="str">
        <f t="shared" si="1102"/>
        <v>-</v>
      </c>
      <c r="DU163" s="125" t="str">
        <f t="shared" ref="DU163" si="1334">IF($DQ163=0,"-",DT163-$DO163)</f>
        <v>-</v>
      </c>
      <c r="DV163" s="110" t="e">
        <f>IF(SeilBeregnet=0,#REF!,SeilBeregnet^0.5/Depl^0.33333)</f>
        <v>#REF!</v>
      </c>
      <c r="DW163" s="110" t="e">
        <f>IF(SeilBeregnet=0,#REF!,Lwl^0.3333)</f>
        <v>#REF!</v>
      </c>
      <c r="DX163" s="110" t="e">
        <f>IF(SeilBeregnet=0,#REF!,((Loa+Lwl)/Bredde)^DX$3)</f>
        <v>#REF!</v>
      </c>
      <c r="DZ163" s="110" t="str">
        <f t="shared" si="1103"/>
        <v>-</v>
      </c>
      <c r="EB163" s="110" t="e">
        <f>IF(SeilBeregnet=0,#REF!,SeilBeregnet^0.5/Depl^0.33333)</f>
        <v>#REF!</v>
      </c>
      <c r="EC163" s="110" t="e">
        <f>IF(SeilBeregnet=0,#REF!,Lwl^EC$3)</f>
        <v>#REF!</v>
      </c>
      <c r="ED163" s="110" t="e">
        <f>IF(SeilBeregnet=0,#REF!,((Loa+Lwl)/Bredde)^ED$3)</f>
        <v>#REF!</v>
      </c>
      <c r="EE163" s="110" t="str">
        <f t="shared" si="1104"/>
        <v>-</v>
      </c>
      <c r="EG163" s="110" t="e">
        <f>IF(SeilBeregnet=0,#REF!,(EH163*EI163)^EG$3)</f>
        <v>#REF!</v>
      </c>
      <c r="EH163" s="110" t="e">
        <f>IF(SeilBeregnet=0,#REF!,SeilBeregnet^0.5/Depl^0.33333)</f>
        <v>#REF!</v>
      </c>
      <c r="EI163" s="110" t="e">
        <f>IF(SeilBeregnet=0,#REF!,((Loa+Lwl)/Bredde)^EI$3)</f>
        <v>#REF!</v>
      </c>
      <c r="EJ163" s="110" t="e">
        <f>IF(SeilBeregnet=0,#REF!,Lwl^EJ$3)</f>
        <v>#REF!</v>
      </c>
      <c r="EK163" s="110" t="str">
        <f>IF(SeilBeregnet=0,"-",EK$7*(EK$4*EM:EM+EK$6)*EP:EP*PropF+ErfaringsF+Dyp_F)</f>
        <v>-</v>
      </c>
      <c r="EM163" s="110" t="e">
        <f>IF(SeilBeregnet=0,#REF!,(EN:EN*EO:EO)^EM$3)</f>
        <v>#REF!</v>
      </c>
      <c r="EN163" s="110" t="e">
        <f>IF(SeilBeregnet=0,#REF!,SeilBeregnet^0.5/Depl^0.33333)</f>
        <v>#REF!</v>
      </c>
      <c r="EO163" s="110" t="e">
        <f>IF(SeilBeregnet=0,#REF!,((Loa+Lwl)/Bredde/6)^EO$3)</f>
        <v>#REF!</v>
      </c>
      <c r="EP163" s="110" t="e">
        <f>IF(SeilBeregnet=0,#REF!,(Lwl*0.7+Loa*0.3)^EP$3)</f>
        <v>#REF!</v>
      </c>
      <c r="EQ163" s="110" t="str">
        <f>IF(SeilBeregnet=0,"-",EQ$7*(ES:ES+EQ$6)*EV:EV*PropF+ErfaringsF+Dyp_F)</f>
        <v>-</v>
      </c>
      <c r="ES163" s="110" t="e">
        <f>(ET:ET*EU:EU)^ES$3</f>
        <v>#REF!</v>
      </c>
      <c r="ET163" s="110" t="e">
        <f>IF(SeilBeregnet=0,#REF!,SeilBeregnet^0.5/Depl^0.3333)</f>
        <v>#REF!</v>
      </c>
      <c r="EU163" s="110" t="e">
        <f>IF(SeilBeregnet=0,#REF!,((Loa+Lwl)/Bredde/6)^EU$3)</f>
        <v>#REF!</v>
      </c>
      <c r="EV163" s="110" t="e">
        <f>IF(SeilBeregnet=0,#REF!,(Lwl*0.7+Loa*0.3)^EV$3)</f>
        <v>#REF!</v>
      </c>
      <c r="EW163" s="110" t="str">
        <f>IF(SeilBeregnet=0,"-",EW$7*(EY:EY+EW$6)*FB:FB*PropF+ErfaringsF+Dyp_F)</f>
        <v>-</v>
      </c>
      <c r="EX163" s="144" t="str">
        <f t="shared" ref="EX163" si="1335">IF($DQ163=0,"-",(EW163-$DO163)*100)</f>
        <v>-</v>
      </c>
      <c r="EY163" s="110" t="e">
        <f>(EZ:EZ*FA:FA)^EY$3</f>
        <v>#REF!</v>
      </c>
      <c r="EZ163" s="136" t="e">
        <f>IF(SeilBeregnet=0,#REF!,(SeilBeregnet^0.5/(Depl^0.3333))^EZ$3)</f>
        <v>#REF!</v>
      </c>
      <c r="FA163" s="136" t="e">
        <f>IF(SeilBeregnet=0,#REF!,((Loa+Lwl)/Bredde/6)^FA$3)</f>
        <v>#REF!</v>
      </c>
      <c r="FB163" s="110" t="e">
        <f>IF(SeilBeregnet=0,#REF!,(Lwl*0.07+Loa*0.03)^FB$3)</f>
        <v>#REF!</v>
      </c>
      <c r="FC163" s="110" t="str">
        <f>IF(SeilBeregnet=0,"-",FC$7*(FE:FE+FC$6)*FI:FI*PropF+ErfaringsF+Dyp_F)</f>
        <v>-</v>
      </c>
      <c r="FD163" s="144" t="str">
        <f t="shared" ref="FD163" si="1336">IF($DQ163=0,"-",(FC163-$DO163)*100)</f>
        <v>-</v>
      </c>
      <c r="FE163" s="110" t="e">
        <f>(FF:FF+FG:FG+FH:FH)^FE$3+FE$7</f>
        <v>#REF!</v>
      </c>
      <c r="FF163" s="136" t="e">
        <f>IF(SeilBeregnet=0,#REF!,(SeilBeregnet^0.5/(Depl^0.3333))^FF$3)</f>
        <v>#REF!</v>
      </c>
      <c r="FG163" s="136" t="e">
        <f>IF(SeilBeregnet=0,#REF!,(SeilBeregnet^0.5/Lwl*FG$7)^FG$3)</f>
        <v>#REF!</v>
      </c>
      <c r="FH163" s="136" t="e">
        <f>IF(SeilBeregnet=0,#REF!,((Loa)/Bredde)^FH$3*FH$7)</f>
        <v>#REF!</v>
      </c>
      <c r="FI163" s="110" t="e">
        <f>IF(SeilBeregnet=0,#REF!,(Lwl)^FI$3)</f>
        <v>#REF!</v>
      </c>
      <c r="FJ163" s="110" t="str">
        <f>IF(SeilBeregnet=0,"-",FJ$7*(FL:FL+FJ$6)*FO:FO*PropF+ErfaringsF+Dyp_F)</f>
        <v>-</v>
      </c>
      <c r="FK163" s="144" t="str">
        <f t="shared" ref="FK163" si="1337">IF($DQ163=0,"-",(FJ163-$DO163)*100)</f>
        <v>-</v>
      </c>
      <c r="FL163" s="110" t="e">
        <f>(FM:FM*FN:FN)^FL$3</f>
        <v>#REF!</v>
      </c>
      <c r="FM163" s="136" t="e">
        <f>IF(SeilBeregnet=0,#REF!,(SeilBeregnet^0.5/(Depl^0.3333))^FM$3)</f>
        <v>#REF!</v>
      </c>
      <c r="FN163" s="136" t="e">
        <f>IF(SeilBeregnet=0,#REF!,(Loa/Bredde)^FN$3)</f>
        <v>#REF!</v>
      </c>
      <c r="FO163" s="110" t="e">
        <f>IF(SeilBeregnet=0,#REF!,Lwl^FO$3)</f>
        <v>#REF!</v>
      </c>
      <c r="FQ163">
        <v>0.95</v>
      </c>
      <c r="FR163" s="64" t="str">
        <f t="shared" si="1249"/>
        <v>-</v>
      </c>
      <c r="FS163" s="480" t="s">
        <v>78</v>
      </c>
      <c r="FT163" s="59" t="s">
        <v>78</v>
      </c>
      <c r="FU163" s="475"/>
      <c r="FV163" s="77"/>
      <c r="FW163" s="59"/>
      <c r="FX163" s="59"/>
      <c r="FY163" s="59"/>
      <c r="FZ163" s="59"/>
      <c r="GB163" s="59" t="s">
        <v>522</v>
      </c>
      <c r="GC163" s="475" t="s">
        <v>522</v>
      </c>
      <c r="GD163" s="60" t="s">
        <v>522</v>
      </c>
      <c r="GE163" s="60" t="s">
        <v>522</v>
      </c>
      <c r="GF163" s="60" t="s">
        <v>522</v>
      </c>
      <c r="GG163" s="60" t="s">
        <v>522</v>
      </c>
      <c r="GI163" s="59"/>
      <c r="GJ163" s="59"/>
      <c r="GK163" s="59"/>
      <c r="GL163" s="59"/>
      <c r="GM163" s="59"/>
      <c r="GN163" s="59"/>
      <c r="GO163" s="59"/>
      <c r="GP163" s="59"/>
    </row>
    <row r="164" spans="1:198" ht="15.6" x14ac:dyDescent="0.3">
      <c r="A164" s="54" t="s">
        <v>79</v>
      </c>
      <c r="B164" s="223">
        <f t="shared" si="1331"/>
        <v>38.385826771653541</v>
      </c>
      <c r="C164" s="55" t="s">
        <v>22</v>
      </c>
      <c r="D164" s="55"/>
      <c r="E164" s="55"/>
      <c r="F164" s="55"/>
      <c r="G164" s="56"/>
      <c r="H164" s="209"/>
      <c r="I164" s="126" t="str">
        <f>A164</f>
        <v>LØPEREN</v>
      </c>
      <c r="J164" s="229"/>
      <c r="K164" s="119"/>
      <c r="L164" s="119"/>
      <c r="M164" s="95"/>
      <c r="N164" s="265"/>
      <c r="O164" s="169"/>
      <c r="P164" s="169"/>
      <c r="Q164" s="181">
        <v>22.2</v>
      </c>
      <c r="R164" s="169">
        <v>11.4</v>
      </c>
      <c r="S164" s="169"/>
      <c r="T164" s="181">
        <v>19.3</v>
      </c>
      <c r="U164" s="181">
        <v>41.1</v>
      </c>
      <c r="V164" s="169"/>
      <c r="W164" s="169"/>
      <c r="X164" s="169"/>
      <c r="Y164" s="169">
        <v>14</v>
      </c>
      <c r="Z164" s="169">
        <v>10.199999999999999</v>
      </c>
      <c r="AA164" s="169"/>
      <c r="AB164" s="169"/>
      <c r="AC164" s="169"/>
      <c r="AD164" s="169"/>
      <c r="AE164" s="263">
        <v>9.9</v>
      </c>
      <c r="AF164" s="296"/>
      <c r="AG164" s="377"/>
      <c r="AH164" s="296"/>
      <c r="AI164" s="377"/>
      <c r="AJ164" s="296" t="s">
        <v>237</v>
      </c>
      <c r="AK164" s="47">
        <f>VLOOKUP(AJ164,Skrogform!$1:$1048576,3,FALSE)</f>
        <v>0.98</v>
      </c>
      <c r="AL164" s="57">
        <v>11.7</v>
      </c>
      <c r="AM164" s="57">
        <v>10.199999999999999</v>
      </c>
      <c r="AN164" s="57">
        <v>3.85</v>
      </c>
      <c r="AO164" s="57">
        <v>1.9</v>
      </c>
      <c r="AP164" s="57">
        <v>15.17</v>
      </c>
      <c r="AQ164" s="57">
        <v>4.2</v>
      </c>
      <c r="AR164" s="57">
        <v>1</v>
      </c>
      <c r="AS164" s="281">
        <v>38</v>
      </c>
      <c r="AT164" s="281">
        <v>200</v>
      </c>
      <c r="AU164" s="281">
        <f>ROUND(Depl*10,-2)</f>
        <v>200</v>
      </c>
      <c r="AV164" s="281">
        <f>ROUND(Depl*10,-2)</f>
        <v>200</v>
      </c>
      <c r="AW164" s="270">
        <f>Depl+Diesel/1000+Vann/1000</f>
        <v>15.569999999999999</v>
      </c>
      <c r="AX164" s="281"/>
      <c r="AY164" s="98">
        <f>Bredde/(Loa+Lwl)*2</f>
        <v>0.35159817351598177</v>
      </c>
      <c r="AZ164" s="98">
        <f>(Kjøl+Ballast)/Depl</f>
        <v>0.34278180619644033</v>
      </c>
      <c r="BA164" s="288">
        <f>BA$7*((Depl-Kjøl-Ballast-VektMotor/1000-VektAnnet/1000)/Loa/Lwl/Bredde)</f>
        <v>0.92005526287074557</v>
      </c>
      <c r="BB164" s="98">
        <f>BB$7*(Depl/Loa/Lwl/Lwl)</f>
        <v>0.93580968370254103</v>
      </c>
      <c r="BC164" s="178">
        <f>BC$7*(Depl/Loa/Lwl/Bredde)</f>
        <v>0.91642998158304301</v>
      </c>
      <c r="BD164" s="98">
        <f>BD$7*Bredde/(Loa+Lwl)*2</f>
        <v>1.0029999509009673</v>
      </c>
      <c r="BE164" s="98">
        <f>BE$7*(Dypg/Lwl)</f>
        <v>1.018840579710145</v>
      </c>
      <c r="BF164" s="58" t="s">
        <v>24</v>
      </c>
      <c r="BG164" s="296">
        <v>3</v>
      </c>
      <c r="BH164" s="296">
        <v>53</v>
      </c>
      <c r="BI164" s="47">
        <f t="shared" si="1095"/>
        <v>1</v>
      </c>
      <c r="BJ164" s="61">
        <v>0.02</v>
      </c>
      <c r="BK164" s="61"/>
      <c r="BM164" s="214"/>
      <c r="BN164" s="214" t="str">
        <f>$A164</f>
        <v>LØPEREN</v>
      </c>
      <c r="BO164" s="10"/>
      <c r="BP164" s="10"/>
      <c r="BQ164" s="10"/>
      <c r="BR164" s="10"/>
      <c r="BS164" s="52"/>
      <c r="BT164" s="214" t="str">
        <f>$A164</f>
        <v>LØPEREN</v>
      </c>
      <c r="BU164" s="10"/>
      <c r="BV164" s="10"/>
      <c r="BW164" s="10"/>
      <c r="BX164" s="10"/>
      <c r="BY164" s="10"/>
      <c r="BZ164" s="10"/>
      <c r="CA164" s="10"/>
      <c r="CB164" s="10"/>
      <c r="CC164" s="10"/>
      <c r="CD164" s="214"/>
      <c r="CE164" s="10"/>
      <c r="CF164" s="214" t="str">
        <f>$A164</f>
        <v>LØPEREN</v>
      </c>
      <c r="CG164" s="212"/>
      <c r="CH164" s="212"/>
      <c r="CI164" s="119"/>
      <c r="CJ164" s="212"/>
      <c r="CK164" s="208"/>
      <c r="CL164" s="208" t="s">
        <v>26</v>
      </c>
      <c r="CM164" s="110" t="str">
        <f t="shared" si="1189"/>
        <v>-</v>
      </c>
      <c r="CN164" s="64" t="str">
        <f>IF(SeilBeregnet=0,"-",(SeilBeregnet)^(1/2)*StHfaktor/(Depl+DeplTillegg/1000+Vann/1000+Diesel/1000*0.84)^(1/3))</f>
        <v>-</v>
      </c>
      <c r="CO164" s="64" t="str">
        <f t="shared" si="1140"/>
        <v>-</v>
      </c>
      <c r="CP164" s="64" t="str">
        <f t="shared" si="1141"/>
        <v>-</v>
      </c>
      <c r="CQ164" s="110" t="str">
        <f t="shared" si="1142"/>
        <v>-</v>
      </c>
      <c r="CR164" s="172">
        <f t="shared" si="1297"/>
        <v>0.96282352941176486</v>
      </c>
      <c r="CS164" s="162">
        <v>0.93</v>
      </c>
      <c r="CT164" s="172">
        <f>CT$7*CU164</f>
        <v>0</v>
      </c>
      <c r="CU164" s="164"/>
      <c r="CV164" s="195" t="s">
        <v>145</v>
      </c>
      <c r="CW164" s="30" t="s">
        <v>26</v>
      </c>
      <c r="CX164" s="30" t="s">
        <v>26</v>
      </c>
      <c r="CY164" s="30" t="s">
        <v>26</v>
      </c>
      <c r="CZ164" s="153">
        <v>2022</v>
      </c>
      <c r="DA164" s="64" t="str">
        <f t="shared" si="1096"/>
        <v>-</v>
      </c>
      <c r="DB164" s="49">
        <f t="shared" si="1097"/>
        <v>12.624584717607974</v>
      </c>
      <c r="DC164" s="50">
        <f t="shared" si="1098"/>
        <v>0</v>
      </c>
      <c r="DE164" s="110" t="str">
        <f>IF(SeilBeregnet=0,"-",DE$7*(DG:DG+DE$6)*DL:DL*PropF+ErfaringsF+Dyp_F)</f>
        <v>-</v>
      </c>
      <c r="DF164" s="144" t="str">
        <f t="shared" ref="DF164" si="1338">IF($DQ164=0,"-",(DE164-$DO164)*100)</f>
        <v>-</v>
      </c>
      <c r="DG164" s="110">
        <f t="shared" si="1099"/>
        <v>4.5976499289313022</v>
      </c>
      <c r="DH164" s="136">
        <f>IF(SeilBeregnet=0,DH162,(SeilBeregnet^0.5/(Depl^0.3333))^DH$3*DH$7)</f>
        <v>2.8706532634691238</v>
      </c>
      <c r="DI164" s="136">
        <f>IF(SeilBeregnet=0,DI162,(SeilBeregnet^0.5/Lwl)^DI$3*DI$7)</f>
        <v>0</v>
      </c>
      <c r="DJ164" s="136">
        <f>IF(SeilBeregnet=0,DJ162,(0.1*Loa/Depl^0.3333)^DJ$3*DJ$7)</f>
        <v>0</v>
      </c>
      <c r="DK164" s="136">
        <f>IF(SeilBeregnet=0,DK162,((Loa)/Bredde)^DK$3*DK$7)</f>
        <v>1.7269966654621782</v>
      </c>
      <c r="DL164" s="110">
        <f>IF(SeilBeregnet=0,DL162,(Lwl)^DL$3)</f>
        <v>1.7014179278548895</v>
      </c>
      <c r="DM164" s="136">
        <f>IF(SeilBeregnet=0,DM162,(Dypg/Loa)^DM$3*5*DM$7)</f>
        <v>2.2968452802704382</v>
      </c>
      <c r="DO164" s="110" t="str">
        <f t="shared" si="733"/>
        <v>-</v>
      </c>
      <c r="DP164" s="110" t="str">
        <f t="shared" si="1100"/>
        <v>-</v>
      </c>
      <c r="DR164" s="110" t="str">
        <f t="shared" si="1101"/>
        <v>-</v>
      </c>
      <c r="DS164" s="125" t="str">
        <f t="shared" ref="DS164" si="1339">IF($DQ164=0,"-",DR164-$DO164)</f>
        <v>-</v>
      </c>
      <c r="DT164" s="110" t="str">
        <f t="shared" si="1102"/>
        <v>-</v>
      </c>
      <c r="DU164" s="125" t="str">
        <f t="shared" ref="DU164" si="1340">IF($DQ164=0,"-",DT164-$DO164)</f>
        <v>-</v>
      </c>
      <c r="DV164" s="110" t="e">
        <f>IF(SeilBeregnet=0,DV163,SeilBeregnet^0.5/Depl^0.33333)</f>
        <v>#REF!</v>
      </c>
      <c r="DW164" s="110" t="e">
        <f>IF(SeilBeregnet=0,DW163,Lwl^0.3333)</f>
        <v>#REF!</v>
      </c>
      <c r="DX164" s="110" t="e">
        <f t="shared" ref="DX164:DX192" si="1341">IF(SeilBeregnet=0,DX163,((Loa+Lwl)/Bredde)^DX$3)</f>
        <v>#REF!</v>
      </c>
      <c r="DZ164" s="110" t="str">
        <f t="shared" si="1103"/>
        <v>-</v>
      </c>
      <c r="EB164" s="110" t="e">
        <f>IF(SeilBeregnet=0,EB163,SeilBeregnet^0.5/Depl^0.33333)</f>
        <v>#REF!</v>
      </c>
      <c r="EC164" s="110" t="e">
        <f t="shared" ref="EC164:EC192" si="1342">IF(SeilBeregnet=0,EC163,Lwl^EC$3)</f>
        <v>#REF!</v>
      </c>
      <c r="ED164" s="110" t="e">
        <f t="shared" ref="ED164:ED192" si="1343">IF(SeilBeregnet=0,ED163,((Loa+Lwl)/Bredde)^ED$3)</f>
        <v>#REF!</v>
      </c>
      <c r="EE164" s="110" t="str">
        <f t="shared" si="1104"/>
        <v>-</v>
      </c>
      <c r="EG164" s="110" t="e">
        <f t="shared" ref="EG164:EG192" si="1344">IF(SeilBeregnet=0,EG163,(EH164*EI164)^EG$3)</f>
        <v>#REF!</v>
      </c>
      <c r="EH164" s="110" t="e">
        <f>IF(SeilBeregnet=0,EH163,SeilBeregnet^0.5/Depl^0.33333)</f>
        <v>#REF!</v>
      </c>
      <c r="EI164" s="110" t="e">
        <f t="shared" ref="EI164:EI192" si="1345">IF(SeilBeregnet=0,EI163,((Loa+Lwl)/Bredde)^EI$3)</f>
        <v>#REF!</v>
      </c>
      <c r="EJ164" s="110" t="e">
        <f t="shared" ref="EJ164:EJ192" si="1346">IF(SeilBeregnet=0,EJ163,Lwl^EJ$3)</f>
        <v>#REF!</v>
      </c>
      <c r="EK164" s="110" t="str">
        <f>IF(SeilBeregnet=0,"-",EK$7*(EK$4*EM:EM+EK$6)*EP:EP*PropF+ErfaringsF+Dyp_F)</f>
        <v>-</v>
      </c>
      <c r="EM164" s="110" t="e">
        <f>IF(SeilBeregnet=0,EM163,(EN:EN*EO:EO)^EM$3)</f>
        <v>#REF!</v>
      </c>
      <c r="EN164" s="110" t="e">
        <f>IF(SeilBeregnet=0,EN163,SeilBeregnet^0.5/Depl^0.33333)</f>
        <v>#REF!</v>
      </c>
      <c r="EO164" s="110" t="e">
        <f t="shared" ref="EO164:EO192" si="1347">IF(SeilBeregnet=0,EO163,((Loa+Lwl)/Bredde/6)^EO$3)</f>
        <v>#REF!</v>
      </c>
      <c r="EP164" s="110" t="e">
        <f t="shared" ref="EP164:EP192" si="1348">IF(SeilBeregnet=0,EP163,(Lwl*0.7+Loa*0.3)^EP$3)</f>
        <v>#REF!</v>
      </c>
      <c r="EQ164" s="110" t="str">
        <f>IF(SeilBeregnet=0,"-",EQ$7*(ES:ES+EQ$6)*EV:EV*PropF+ErfaringsF+Dyp_F)</f>
        <v>-</v>
      </c>
      <c r="ES164" s="110" t="e">
        <f>(ET:ET*EU:EU)^ES$3</f>
        <v>#REF!</v>
      </c>
      <c r="ET164" s="110" t="e">
        <f>IF(SeilBeregnet=0,ET163,SeilBeregnet^0.5/Depl^0.3333)</f>
        <v>#REF!</v>
      </c>
      <c r="EU164" s="110" t="e">
        <f t="shared" ref="EU164:EU192" si="1349">IF(SeilBeregnet=0,EU163,((Loa+Lwl)/Bredde/6)^EU$3)</f>
        <v>#REF!</v>
      </c>
      <c r="EV164" s="110" t="e">
        <f t="shared" ref="EV164:EV192" si="1350">IF(SeilBeregnet=0,EV163,(Lwl*0.7+Loa*0.3)^EV$3)</f>
        <v>#REF!</v>
      </c>
      <c r="EW164" s="110" t="str">
        <f>IF(SeilBeregnet=0,"-",EW$7*(EY:EY+EW$6)*FB:FB*PropF+ErfaringsF+Dyp_F)</f>
        <v>-</v>
      </c>
      <c r="EX164" s="144" t="str">
        <f t="shared" ref="EX164" si="1351">IF($DQ164=0,"-",(EW164-$DO164)*100)</f>
        <v>-</v>
      </c>
      <c r="EY164" s="110" t="e">
        <f>(EZ:EZ*FA:FA)^EY$3</f>
        <v>#REF!</v>
      </c>
      <c r="EZ164" s="136" t="e">
        <f t="shared" ref="EZ164:EZ192" si="1352">IF(SeilBeregnet=0,EZ163,(SeilBeregnet^0.5/(Depl^0.3333))^EZ$3)</f>
        <v>#REF!</v>
      </c>
      <c r="FA164" s="136" t="e">
        <f t="shared" ref="FA164:FA192" si="1353">IF(SeilBeregnet=0,FA163,((Loa+Lwl)/Bredde/6)^FA$3)</f>
        <v>#REF!</v>
      </c>
      <c r="FB164" s="110" t="e">
        <f t="shared" ref="FB164:FB192" si="1354">IF(SeilBeregnet=0,FB163,(Lwl*0.07+Loa*0.03)^FB$3)</f>
        <v>#REF!</v>
      </c>
      <c r="FC164" s="110" t="str">
        <f>IF(SeilBeregnet=0,"-",FC$7*(FE:FE+FC$6)*FI:FI*PropF+ErfaringsF+Dyp_F)</f>
        <v>-</v>
      </c>
      <c r="FD164" s="144" t="str">
        <f t="shared" ref="FD164" si="1355">IF($DQ164=0,"-",(FC164-$DO164)*100)</f>
        <v>-</v>
      </c>
      <c r="FE164" s="110" t="e">
        <f>(FF:FF+FG:FG+FH:FH)^FE$3+FE$7</f>
        <v>#REF!</v>
      </c>
      <c r="FF164" s="136" t="e">
        <f t="shared" ref="FF164:FF192" si="1356">IF(SeilBeregnet=0,FF163,(SeilBeregnet^0.5/(Depl^0.3333))^FF$3)</f>
        <v>#REF!</v>
      </c>
      <c r="FG164" s="136" t="e">
        <f t="shared" ref="FG164:FG192" si="1357">IF(SeilBeregnet=0,FG163,(SeilBeregnet^0.5/Lwl*FG$7)^FG$3)</f>
        <v>#REF!</v>
      </c>
      <c r="FH164" s="136" t="e">
        <f t="shared" ref="FH164:FH192" si="1358">IF(SeilBeregnet=0,FH163,((Loa)/Bredde)^FH$3*FH$7)</f>
        <v>#REF!</v>
      </c>
      <c r="FI164" s="110" t="e">
        <f t="shared" ref="FI164:FI192" si="1359">IF(SeilBeregnet=0,FI163,(Lwl)^FI$3)</f>
        <v>#REF!</v>
      </c>
      <c r="FJ164" s="110" t="str">
        <f>IF(SeilBeregnet=0,"-",FJ$7*(FL:FL+FJ$6)*FO:FO*PropF+ErfaringsF+Dyp_F)</f>
        <v>-</v>
      </c>
      <c r="FK164" s="144" t="str">
        <f t="shared" ref="FK164" si="1360">IF($DQ164=0,"-",(FJ164-$DO164)*100)</f>
        <v>-</v>
      </c>
      <c r="FL164" s="110" t="e">
        <f>(FM:FM*FN:FN)^FL$3</f>
        <v>#REF!</v>
      </c>
      <c r="FM164" s="136" t="e">
        <f t="shared" ref="FM164:FM192" si="1361">IF(SeilBeregnet=0,FM163,(SeilBeregnet^0.5/(Depl^0.3333))^FM$3)</f>
        <v>#REF!</v>
      </c>
      <c r="FN164" s="136" t="e">
        <f t="shared" ref="FN164:FN192" si="1362">IF(SeilBeregnet=0,FN163,(Loa/Bredde)^FN$3)</f>
        <v>#REF!</v>
      </c>
      <c r="FO164" s="110" t="e">
        <f t="shared" ref="FO164:FO192" si="1363">IF(SeilBeregnet=0,FO163,Lwl^FO$3)</f>
        <v>#REF!</v>
      </c>
      <c r="FQ164">
        <v>0.95</v>
      </c>
      <c r="FR164" s="64" t="str">
        <f t="shared" si="1249"/>
        <v>-</v>
      </c>
      <c r="FS164" s="480" t="s">
        <v>78</v>
      </c>
      <c r="FT164" s="59" t="s">
        <v>78</v>
      </c>
      <c r="FU164" s="475"/>
      <c r="FV164" s="77"/>
      <c r="FW164" s="59"/>
      <c r="FX164" s="59"/>
      <c r="FY164" s="59"/>
      <c r="FZ164" s="59"/>
      <c r="GB164" s="59" t="s">
        <v>522</v>
      </c>
      <c r="GC164" s="475" t="s">
        <v>522</v>
      </c>
      <c r="GD164" s="60" t="s">
        <v>522</v>
      </c>
      <c r="GE164" s="60" t="s">
        <v>522</v>
      </c>
      <c r="GF164" s="60" t="s">
        <v>522</v>
      </c>
      <c r="GG164" s="60" t="s">
        <v>522</v>
      </c>
      <c r="GI164" s="59"/>
      <c r="GJ164" s="59"/>
      <c r="GK164" s="59"/>
      <c r="GL164" s="59"/>
      <c r="GM164" s="59"/>
      <c r="GN164" s="59"/>
      <c r="GO164" s="59"/>
      <c r="GP164" s="59"/>
    </row>
    <row r="165" spans="1:198" ht="15.6" x14ac:dyDescent="0.3">
      <c r="A165" s="62" t="s">
        <v>31</v>
      </c>
      <c r="B165" s="223"/>
      <c r="C165" s="63" t="str">
        <f>C164</f>
        <v>Gaffel</v>
      </c>
      <c r="D165" s="63"/>
      <c r="E165" s="63"/>
      <c r="F165" s="63"/>
      <c r="G165" s="56"/>
      <c r="H165" s="209">
        <f>TBFavrundet</f>
        <v>97</v>
      </c>
      <c r="I165" s="65">
        <f>COUNTA(O165:AD165)</f>
        <v>4</v>
      </c>
      <c r="J165" s="228">
        <f>SUM(O165:AD165)</f>
        <v>92.8</v>
      </c>
      <c r="K165" s="119">
        <f>Seilareal/Depl^0.667/K$7</f>
        <v>1.3833559895134171</v>
      </c>
      <c r="L165" s="119">
        <f>Seilareal/Lwl/Lwl/L$7</f>
        <v>1.3533951209118993</v>
      </c>
      <c r="M165" s="95">
        <f>RiggF</f>
        <v>0.79407327586206899</v>
      </c>
      <c r="N165" s="265">
        <f>StHfaktor</f>
        <v>0.99627533344928132</v>
      </c>
      <c r="O165" s="147"/>
      <c r="P165" s="147"/>
      <c r="Q165" s="169">
        <f>Q164</f>
        <v>22.2</v>
      </c>
      <c r="R165" s="147"/>
      <c r="S165" s="147"/>
      <c r="T165" s="169">
        <f>T164</f>
        <v>19.3</v>
      </c>
      <c r="U165" s="169">
        <f>U164</f>
        <v>41.1</v>
      </c>
      <c r="V165" s="148"/>
      <c r="W165" s="148"/>
      <c r="X165" s="148"/>
      <c r="Y165" s="148"/>
      <c r="Z165" s="169">
        <f>Z164</f>
        <v>10.199999999999999</v>
      </c>
      <c r="AA165" s="147"/>
      <c r="AB165" s="147"/>
      <c r="AC165" s="147"/>
      <c r="AD165" s="147"/>
      <c r="AE165" s="260">
        <f t="shared" ref="AE165" si="1364">AE164</f>
        <v>9.9</v>
      </c>
      <c r="AF165" s="375">
        <f t="shared" ref="AF165:AH168" si="1365" xml:space="preserve"> AF164</f>
        <v>0</v>
      </c>
      <c r="AG165" s="377"/>
      <c r="AH165" s="375">
        <f t="shared" si="1365"/>
        <v>0</v>
      </c>
      <c r="AI165" s="377"/>
      <c r="AJ165" s="295" t="str">
        <f t="shared" ref="AJ165" si="1366" xml:space="preserve"> AJ164</f>
        <v>Lystb</v>
      </c>
      <c r="AK165" s="47">
        <f>VLOOKUP(AJ165,Skrogform!$1:$1048576,3,FALSE)</f>
        <v>0.98</v>
      </c>
      <c r="AL165" s="66">
        <f t="shared" ref="AL165:AT165" si="1367">AL164</f>
        <v>11.7</v>
      </c>
      <c r="AM165" s="66">
        <f t="shared" si="1367"/>
        <v>10.199999999999999</v>
      </c>
      <c r="AN165" s="66">
        <f t="shared" si="1367"/>
        <v>3.85</v>
      </c>
      <c r="AO165" s="66">
        <f t="shared" si="1367"/>
        <v>1.9</v>
      </c>
      <c r="AP165" s="66">
        <f t="shared" si="1367"/>
        <v>15.17</v>
      </c>
      <c r="AQ165" s="66">
        <f t="shared" si="1367"/>
        <v>4.2</v>
      </c>
      <c r="AR165" s="66">
        <f t="shared" si="1367"/>
        <v>1</v>
      </c>
      <c r="AS165" s="284">
        <f t="shared" si="1367"/>
        <v>38</v>
      </c>
      <c r="AT165" s="284">
        <f t="shared" si="1367"/>
        <v>200</v>
      </c>
      <c r="AU165" s="284">
        <f t="shared" ref="AU165:AV165" si="1368">AU164</f>
        <v>200</v>
      </c>
      <c r="AV165" s="284">
        <f t="shared" si="1368"/>
        <v>200</v>
      </c>
      <c r="AW165" s="284"/>
      <c r="AX165" s="284">
        <f>AX164</f>
        <v>0</v>
      </c>
      <c r="AY165" s="68"/>
      <c r="AZ165" s="68"/>
      <c r="BA165" s="289"/>
      <c r="BB165" s="68"/>
      <c r="BC165" s="179"/>
      <c r="BD165" s="68"/>
      <c r="BE165" s="68"/>
      <c r="BF165" s="67" t="str">
        <f t="shared" ref="BF165:BH165" si="1369" xml:space="preserve"> BF164</f>
        <v>Seilrett</v>
      </c>
      <c r="BG165" s="295">
        <f t="shared" si="1369"/>
        <v>3</v>
      </c>
      <c r="BH165" s="295">
        <f t="shared" si="1369"/>
        <v>53</v>
      </c>
      <c r="BI165" s="47">
        <f t="shared" ref="BI165:BI201" si="1370">IF((BF165="Fast"),(1.006248-(0.06415*((BH165/100*SQRT(BG165))/POWER(AP165,(1/3))))),1)</f>
        <v>1</v>
      </c>
      <c r="BJ165" s="61">
        <f>BJ164</f>
        <v>0.02</v>
      </c>
      <c r="BK165" s="61"/>
      <c r="BM165" s="51">
        <f t="shared" ref="BM165:BR168" si="1371">IF(O165=0,0,O165*BM$9)</f>
        <v>0</v>
      </c>
      <c r="BN165" s="51">
        <f t="shared" si="1371"/>
        <v>0</v>
      </c>
      <c r="BO165" s="51">
        <f t="shared" si="1371"/>
        <v>22.2</v>
      </c>
      <c r="BP165" s="51">
        <f t="shared" si="1371"/>
        <v>0</v>
      </c>
      <c r="BQ165" s="51">
        <f t="shared" si="1371"/>
        <v>0</v>
      </c>
      <c r="BR165" s="51">
        <f t="shared" si="1371"/>
        <v>19.3</v>
      </c>
      <c r="BS165" s="52">
        <f>IF(COUNT(P165:T165)&gt;1,MINA(P165:T165)*BS$9,0)</f>
        <v>-5.79</v>
      </c>
      <c r="BT165" s="88">
        <f t="shared" ref="BT165:CC168" si="1372">IF(U165=0,0,U165*BT$9)</f>
        <v>32.880000000000003</v>
      </c>
      <c r="BU165" s="88">
        <f t="shared" si="1372"/>
        <v>0</v>
      </c>
      <c r="BV165" s="88">
        <f t="shared" si="1372"/>
        <v>0</v>
      </c>
      <c r="BW165" s="88">
        <f t="shared" si="1372"/>
        <v>0</v>
      </c>
      <c r="BX165" s="88">
        <f t="shared" si="1372"/>
        <v>0</v>
      </c>
      <c r="BY165" s="88">
        <f t="shared" si="1372"/>
        <v>5.0999999999999996</v>
      </c>
      <c r="BZ165" s="88">
        <f t="shared" si="1372"/>
        <v>0</v>
      </c>
      <c r="CA165" s="88">
        <f t="shared" si="1372"/>
        <v>0</v>
      </c>
      <c r="CB165" s="88">
        <f t="shared" si="1372"/>
        <v>0</v>
      </c>
      <c r="CC165" s="88">
        <f t="shared" si="1372"/>
        <v>0</v>
      </c>
      <c r="CD165" s="103">
        <f>SUM(BM165:CC165)</f>
        <v>73.69</v>
      </c>
      <c r="CE165" s="52"/>
      <c r="CF165" s="107">
        <f>J165</f>
        <v>92.8</v>
      </c>
      <c r="CG165" s="104">
        <f>CD165/CF165</f>
        <v>0.79407327586206899</v>
      </c>
      <c r="CH165" s="53">
        <f>Seilareal/Lwl/Lwl</f>
        <v>0.89196462898885043</v>
      </c>
      <c r="CI165" s="119">
        <f>Seilareal/Depl^0.667/K$7</f>
        <v>1.3833559895134171</v>
      </c>
      <c r="CJ165" s="53">
        <f>Seilareal/Lwl/Lwl/SApRS1</f>
        <v>1.3533951209118993</v>
      </c>
      <c r="CK165" s="209"/>
      <c r="CL165" s="209">
        <f>(ROUND(TBF/CL$6,3)*CL$6)*CL$4</f>
        <v>97</v>
      </c>
      <c r="CM165" s="110">
        <f t="shared" si="1189"/>
        <v>0.97109995781109393</v>
      </c>
      <c r="CN165" s="64">
        <f>IF(SeilBeregnet=0,"-",(SeilBeregnet)^(1/2)*StHfaktor/(Depl+DeplTillegg/1000+Vann/1000+Diesel/1000*0.84)^(1/3))</f>
        <v>3.4127185711875825</v>
      </c>
      <c r="CO165" s="64">
        <f t="shared" si="1140"/>
        <v>1.6864625237922852</v>
      </c>
      <c r="CP165" s="64">
        <f t="shared" si="1141"/>
        <v>1.7871048890689831</v>
      </c>
      <c r="CQ165" s="110">
        <f t="shared" si="1142"/>
        <v>0.99627533344928132</v>
      </c>
      <c r="CR165" s="172">
        <f t="shared" si="1297"/>
        <v>0.96282352941176486</v>
      </c>
      <c r="CS165" s="163">
        <f>CS164</f>
        <v>0.93</v>
      </c>
      <c r="CT165" s="172">
        <f t="shared" ref="CT165:CT201" si="1373">IF(CU165=0,"-",IF(CL165="TBF","-",CT$7*CU165))</f>
        <v>0.95719298245614037</v>
      </c>
      <c r="CU165" s="164">
        <v>1.24</v>
      </c>
      <c r="CV165" s="195" t="s">
        <v>145</v>
      </c>
      <c r="CW165" s="64">
        <v>0.91</v>
      </c>
      <c r="CX165" s="64">
        <v>0.89</v>
      </c>
      <c r="CY165" s="64">
        <v>0.93</v>
      </c>
      <c r="CZ165" s="154">
        <v>0.95</v>
      </c>
      <c r="DA165" s="64">
        <f t="shared" si="1096"/>
        <v>2.0722993742641451</v>
      </c>
      <c r="DB165" s="49">
        <f t="shared" si="1097"/>
        <v>12.624584717607974</v>
      </c>
      <c r="DC165" s="50">
        <f t="shared" si="1098"/>
        <v>0</v>
      </c>
      <c r="DE165" s="110">
        <f>IF(SeilBeregnet=0,"-",DE$7*(DG:DG+DE$6)*DL:DL*PropF+ErfaringsF+Dyp_F)</f>
        <v>0.96062406611625129</v>
      </c>
      <c r="DF165" s="144">
        <f t="shared" si="1161"/>
        <v>-2.9886094915477224</v>
      </c>
      <c r="DG165" s="110">
        <f t="shared" si="1099"/>
        <v>5.2112831331121416</v>
      </c>
      <c r="DH165" s="136">
        <f t="shared" ref="DH165:DH172" si="1374">IF(SeilBeregnet=0,DH164,(SeilBeregnet^0.5/(Depl^0.3333))^DH$3*DH$7)</f>
        <v>3.4680215236682126</v>
      </c>
      <c r="DI165" s="136">
        <f t="shared" ref="DI165:DI172" si="1375">IF(SeilBeregnet=0,DI164,(SeilBeregnet^0.5/Lwl)^DI$3*DI$7)</f>
        <v>0</v>
      </c>
      <c r="DJ165" s="136">
        <f t="shared" ref="DJ165:DJ172" si="1376">IF(SeilBeregnet=0,DJ164,(0.1*Loa/Depl^0.3333)^DJ$3*DJ$7)</f>
        <v>0</v>
      </c>
      <c r="DK165" s="136">
        <f t="shared" ref="DK165:DK172" si="1377">IF(SeilBeregnet=0,DK164,((Loa)/Bredde)^DK$3*DK$7)</f>
        <v>1.7432616094439293</v>
      </c>
      <c r="DL165" s="110">
        <f t="shared" ref="DL165:DL172" si="1378">IF(SeilBeregnet=0,DL164,(Lwl)^DL$3)</f>
        <v>1.7871048890689831</v>
      </c>
      <c r="DM165" s="136">
        <f t="shared" ref="DM165:DM172" si="1379">IF(SeilBeregnet=0,DM164,(Dypg/Loa)^DM$3*5*DM$7)</f>
        <v>2.0149017494232964</v>
      </c>
      <c r="DO165" s="110">
        <f t="shared" si="733"/>
        <v>0.99051016103172851</v>
      </c>
      <c r="DP165" s="110">
        <f t="shared" si="1100"/>
        <v>0.96963710312063645</v>
      </c>
      <c r="DQ165" s="125">
        <f>DP165-DO165</f>
        <v>-2.0873057911092063E-2</v>
      </c>
      <c r="DR165" s="110">
        <f t="shared" si="1101"/>
        <v>0.95246039623156065</v>
      </c>
      <c r="DS165" s="125">
        <f t="shared" si="1162"/>
        <v>-3.8049764800167862E-2</v>
      </c>
      <c r="DT165" s="110">
        <f t="shared" si="1102"/>
        <v>0.97337385425255796</v>
      </c>
      <c r="DU165" s="125">
        <f t="shared" si="1163"/>
        <v>-1.7136306779170551E-2</v>
      </c>
      <c r="DV165" s="110">
        <f t="shared" si="214"/>
        <v>3.4677386154209455</v>
      </c>
      <c r="DW165" s="110">
        <f t="shared" si="215"/>
        <v>2.1685350061166324</v>
      </c>
      <c r="DX165" s="110">
        <f t="shared" si="1341"/>
        <v>1.5443504050509418</v>
      </c>
      <c r="DZ165" s="110">
        <f t="shared" si="1103"/>
        <v>0.96574609850615944</v>
      </c>
      <c r="EB165" s="110">
        <f t="shared" si="217"/>
        <v>3.4677386154209455</v>
      </c>
      <c r="EC165" s="110">
        <f t="shared" si="1342"/>
        <v>2.1686860967520136</v>
      </c>
      <c r="ED165" s="110">
        <f t="shared" si="1343"/>
        <v>1.7849907189041947</v>
      </c>
      <c r="EE165" s="110">
        <f t="shared" si="1104"/>
        <v>0.96634560189649488</v>
      </c>
      <c r="EG165" s="110">
        <f t="shared" si="1344"/>
        <v>5.3554035353361291</v>
      </c>
      <c r="EH165" s="110">
        <f t="shared" si="219"/>
        <v>3.4677386154209455</v>
      </c>
      <c r="EI165" s="110">
        <f t="shared" si="1345"/>
        <v>1.5443504050509418</v>
      </c>
      <c r="EJ165" s="110">
        <f t="shared" si="1346"/>
        <v>1.7871048890689831</v>
      </c>
      <c r="EK165" s="110">
        <f>IF(SeilBeregnet=0,"-",EK$7*(EK$4*EM:EM+EK$6)*EP:EP*PropF+ErfaringsF+Dyp_F)</f>
        <v>0.96675265617177353</v>
      </c>
      <c r="EM165" s="110">
        <f>IF(SeilBeregnet=0,EM164,(EN:EN*EO:EO)^EM$3)</f>
        <v>1.8498103036147056</v>
      </c>
      <c r="EN165" s="110">
        <f t="shared" si="220"/>
        <v>3.4677386154209455</v>
      </c>
      <c r="EO165" s="110">
        <f t="shared" si="1347"/>
        <v>0.98675204184723708</v>
      </c>
      <c r="EP165" s="110">
        <f t="shared" si="1348"/>
        <v>1.8064976541407809</v>
      </c>
      <c r="EQ165" s="110">
        <f>IF(SeilBeregnet=0,"-",EQ$7*(ES:ES+EQ$6)*EV:EV*PropF+ErfaringsF+Dyp_F)</f>
        <v>0.93445065138528249</v>
      </c>
      <c r="ES165" s="110">
        <f>(ET:ET*EU:EU)^ES$3</f>
        <v>1.8498857585401793</v>
      </c>
      <c r="ET165" s="110">
        <f t="shared" si="221"/>
        <v>3.4680215236682126</v>
      </c>
      <c r="EU165" s="110">
        <f t="shared" si="1349"/>
        <v>0.98675204184723708</v>
      </c>
      <c r="EV165" s="110">
        <f t="shared" si="1350"/>
        <v>1.8064976541407809</v>
      </c>
      <c r="EW165" s="110">
        <f>IF(SeilBeregnet=0,"-",EW$7*(EY:EY+EW$6)*FB:FB*PropF+ErfaringsF+Dyp_F)</f>
        <v>0.95401250834879081</v>
      </c>
      <c r="EX165" s="144">
        <f t="shared" si="1246"/>
        <v>-3.6497652682937698</v>
      </c>
      <c r="EY165" s="110">
        <f>(EZ:EZ*FA:FA)^EY$3</f>
        <v>3.3767417825235353</v>
      </c>
      <c r="EZ165" s="136">
        <f t="shared" si="1352"/>
        <v>3.4680215236682126</v>
      </c>
      <c r="FA165" s="136">
        <f t="shared" si="1353"/>
        <v>0.97367959208969146</v>
      </c>
      <c r="FB165" s="110">
        <f t="shared" si="1354"/>
        <v>1.0158682847827836</v>
      </c>
      <c r="FC165" s="110">
        <f>IF(SeilBeregnet=0,"-",FC$7*(FE:FE+FC$6)*FI:FI*PropF+ErfaringsF+Dyp_F)</f>
        <v>0.9726635824874853</v>
      </c>
      <c r="FD165" s="144">
        <f t="shared" si="1247"/>
        <v>-1.7846578544243208</v>
      </c>
      <c r="FE165" s="110">
        <f>(FF:FF+FG:FG+FH:FH)^FE$3+FE$7</f>
        <v>5.5528799931908095</v>
      </c>
      <c r="FF165" s="136">
        <f t="shared" si="1356"/>
        <v>3.4680215236682126</v>
      </c>
      <c r="FG165" s="136">
        <f t="shared" si="1357"/>
        <v>0.84159686007866708</v>
      </c>
      <c r="FH165" s="136">
        <f t="shared" si="1358"/>
        <v>1.7432616094439293</v>
      </c>
      <c r="FI165" s="110">
        <f t="shared" si="1359"/>
        <v>1.7871048890689831</v>
      </c>
      <c r="FJ165" s="110">
        <f>IF(SeilBeregnet=0,"-",FJ$7*(FL:FL+FJ$6)*FO:FO*PropF+ErfaringsF+Dyp_F)</f>
        <v>0.95353851738953788</v>
      </c>
      <c r="FK165" s="144">
        <f t="shared" si="1248"/>
        <v>-3.6971643642190632</v>
      </c>
      <c r="FL165" s="110">
        <f>(FM:FM*FN:FN)^FL$3</f>
        <v>6.045668782936036</v>
      </c>
      <c r="FM165" s="136">
        <f t="shared" si="1361"/>
        <v>3.4680215236682126</v>
      </c>
      <c r="FN165" s="136">
        <f t="shared" si="1362"/>
        <v>1.7432616094439293</v>
      </c>
      <c r="FO165" s="110">
        <f t="shared" si="1363"/>
        <v>1.7871048890689831</v>
      </c>
      <c r="FQ165">
        <v>0.95</v>
      </c>
      <c r="FR165" s="64">
        <f t="shared" si="1249"/>
        <v>1.1474088939031777</v>
      </c>
      <c r="FS165" s="479"/>
      <c r="FT165" s="18"/>
      <c r="FU165" s="481"/>
      <c r="FV165" s="504"/>
      <c r="FW165" s="18"/>
      <c r="FX165" s="18"/>
      <c r="FY165" s="18"/>
      <c r="FZ165" s="18"/>
      <c r="GB165" s="18"/>
      <c r="GC165" s="481"/>
      <c r="GD165" s="8"/>
      <c r="GE165" s="8"/>
      <c r="GF165" s="8"/>
      <c r="GG165" s="8"/>
      <c r="GI165" s="18"/>
      <c r="GJ165" s="18"/>
      <c r="GK165" s="18"/>
      <c r="GL165" s="18"/>
      <c r="GM165" s="18"/>
      <c r="GN165" s="18"/>
      <c r="GO165" s="18"/>
      <c r="GP165" s="18"/>
    </row>
    <row r="166" spans="1:198" ht="15.6" x14ac:dyDescent="0.3">
      <c r="A166" s="62" t="s">
        <v>32</v>
      </c>
      <c r="B166" s="223"/>
      <c r="C166" s="14" t="str">
        <f>C164</f>
        <v>Gaffel</v>
      </c>
      <c r="G166" s="56"/>
      <c r="H166" s="209">
        <f>TBFavrundet</f>
        <v>95</v>
      </c>
      <c r="I166" s="65">
        <f>COUNTA(O166:AD166)</f>
        <v>3</v>
      </c>
      <c r="J166" s="228">
        <f>SUM(O166:AD166)</f>
        <v>82.6</v>
      </c>
      <c r="K166" s="119">
        <f>Seilareal/Depl^0.667/K$7</f>
        <v>1.2313060854936233</v>
      </c>
      <c r="L166" s="119">
        <f>Seilareal/Lwl/Lwl/L$7</f>
        <v>1.2046383296047725</v>
      </c>
      <c r="M166" s="95">
        <f>RiggF</f>
        <v>0.83038740920096865</v>
      </c>
      <c r="N166" s="265">
        <f>StHfaktor</f>
        <v>0.99627533344928132</v>
      </c>
      <c r="O166" s="147"/>
      <c r="P166" s="147"/>
      <c r="Q166" s="169">
        <f>Q165</f>
        <v>22.2</v>
      </c>
      <c r="R166" s="147"/>
      <c r="S166" s="147"/>
      <c r="T166" s="169">
        <f t="shared" ref="T166:U168" si="1380">T165</f>
        <v>19.3</v>
      </c>
      <c r="U166" s="169">
        <f t="shared" si="1380"/>
        <v>41.1</v>
      </c>
      <c r="V166" s="148"/>
      <c r="W166" s="148"/>
      <c r="X166" s="148"/>
      <c r="Y166" s="147"/>
      <c r="Z166" s="147"/>
      <c r="AA166" s="147"/>
      <c r="AB166" s="147"/>
      <c r="AC166" s="147"/>
      <c r="AD166" s="147"/>
      <c r="AE166" s="260">
        <f t="shared" ref="AE166" si="1381">AE165</f>
        <v>9.9</v>
      </c>
      <c r="AF166" s="375">
        <f t="shared" si="1365"/>
        <v>0</v>
      </c>
      <c r="AG166" s="377"/>
      <c r="AH166" s="375">
        <f t="shared" si="1365"/>
        <v>0</v>
      </c>
      <c r="AI166" s="377"/>
      <c r="AJ166" s="295" t="str">
        <f t="shared" ref="AJ166" si="1382" xml:space="preserve"> AJ165</f>
        <v>Lystb</v>
      </c>
      <c r="AK166" s="47">
        <f>VLOOKUP(AJ166,Skrogform!$1:$1048576,3,FALSE)</f>
        <v>0.98</v>
      </c>
      <c r="AL166" s="66">
        <f t="shared" ref="AL166:AT166" si="1383">AL165</f>
        <v>11.7</v>
      </c>
      <c r="AM166" s="66">
        <f t="shared" si="1383"/>
        <v>10.199999999999999</v>
      </c>
      <c r="AN166" s="66">
        <f t="shared" si="1383"/>
        <v>3.85</v>
      </c>
      <c r="AO166" s="66">
        <f t="shared" si="1383"/>
        <v>1.9</v>
      </c>
      <c r="AP166" s="66">
        <f t="shared" si="1383"/>
        <v>15.17</v>
      </c>
      <c r="AQ166" s="66">
        <f t="shared" si="1383"/>
        <v>4.2</v>
      </c>
      <c r="AR166" s="66">
        <f t="shared" si="1383"/>
        <v>1</v>
      </c>
      <c r="AS166" s="284">
        <f t="shared" si="1383"/>
        <v>38</v>
      </c>
      <c r="AT166" s="284">
        <f t="shared" si="1383"/>
        <v>200</v>
      </c>
      <c r="AU166" s="284">
        <f t="shared" ref="AU166:AV166" si="1384">AU165</f>
        <v>200</v>
      </c>
      <c r="AV166" s="284">
        <f t="shared" si="1384"/>
        <v>200</v>
      </c>
      <c r="AW166" s="284"/>
      <c r="AX166" s="284">
        <f>AX165</f>
        <v>0</v>
      </c>
      <c r="AY166" s="68"/>
      <c r="AZ166" s="68"/>
      <c r="BA166" s="289"/>
      <c r="BB166" s="68"/>
      <c r="BC166" s="179"/>
      <c r="BD166" s="68"/>
      <c r="BE166" s="68"/>
      <c r="BF166" s="67" t="str">
        <f t="shared" ref="BF166:BH166" si="1385" xml:space="preserve"> BF165</f>
        <v>Seilrett</v>
      </c>
      <c r="BG166" s="295">
        <f t="shared" si="1385"/>
        <v>3</v>
      </c>
      <c r="BH166" s="295">
        <f t="shared" si="1385"/>
        <v>53</v>
      </c>
      <c r="BI166" s="47">
        <f t="shared" si="1370"/>
        <v>1</v>
      </c>
      <c r="BJ166" s="61">
        <f t="shared" ref="BJ166:BJ168" si="1386">BJ165</f>
        <v>0.02</v>
      </c>
      <c r="BK166" s="61"/>
      <c r="BM166" s="51">
        <f t="shared" si="1371"/>
        <v>0</v>
      </c>
      <c r="BN166" s="51">
        <f t="shared" si="1371"/>
        <v>0</v>
      </c>
      <c r="BO166" s="51">
        <f t="shared" si="1371"/>
        <v>22.2</v>
      </c>
      <c r="BP166" s="51">
        <f t="shared" si="1371"/>
        <v>0</v>
      </c>
      <c r="BQ166" s="51">
        <f t="shared" si="1371"/>
        <v>0</v>
      </c>
      <c r="BR166" s="51">
        <f t="shared" si="1371"/>
        <v>19.3</v>
      </c>
      <c r="BS166" s="52">
        <f>IF(COUNT(P166:T166)&gt;1,MINA(P166:T166)*BS$9,0)</f>
        <v>-5.79</v>
      </c>
      <c r="BT166" s="88">
        <f t="shared" si="1372"/>
        <v>32.880000000000003</v>
      </c>
      <c r="BU166" s="88">
        <f t="shared" si="1372"/>
        <v>0</v>
      </c>
      <c r="BV166" s="88">
        <f t="shared" si="1372"/>
        <v>0</v>
      </c>
      <c r="BW166" s="88">
        <f t="shared" si="1372"/>
        <v>0</v>
      </c>
      <c r="BX166" s="88">
        <f t="shared" si="1372"/>
        <v>0</v>
      </c>
      <c r="BY166" s="88">
        <f t="shared" si="1372"/>
        <v>0</v>
      </c>
      <c r="BZ166" s="88">
        <f t="shared" si="1372"/>
        <v>0</v>
      </c>
      <c r="CA166" s="88">
        <f t="shared" si="1372"/>
        <v>0</v>
      </c>
      <c r="CB166" s="88">
        <f t="shared" si="1372"/>
        <v>0</v>
      </c>
      <c r="CC166" s="88">
        <f t="shared" si="1372"/>
        <v>0</v>
      </c>
      <c r="CD166" s="103">
        <f>SUM(BM166:CC166)</f>
        <v>68.59</v>
      </c>
      <c r="CE166" s="52"/>
      <c r="CF166" s="107">
        <f>J166</f>
        <v>82.6</v>
      </c>
      <c r="CG166" s="104">
        <f>CD166/CF166</f>
        <v>0.83038740920096865</v>
      </c>
      <c r="CH166" s="53">
        <f>Seilareal/Lwl/Lwl</f>
        <v>0.79392541330257593</v>
      </c>
      <c r="CI166" s="119">
        <f>Seilareal/Depl^0.667/K$7</f>
        <v>1.2313060854936233</v>
      </c>
      <c r="CJ166" s="53">
        <f>Seilareal/Lwl/Lwl/SApRS1</f>
        <v>1.2046383296047725</v>
      </c>
      <c r="CK166" s="209"/>
      <c r="CL166" s="209">
        <f>(ROUND(TBF/CL$6,3)*CL$6)*CL$4</f>
        <v>95</v>
      </c>
      <c r="CM166" s="110">
        <f t="shared" si="1189"/>
        <v>0.94867792632868053</v>
      </c>
      <c r="CN166" s="64">
        <f>IF(SeilBeregnet=0,"-",(SeilBeregnet)^(1/2)*StHfaktor/(Depl+DeplTillegg/1000+Vann/1000+Diesel/1000*0.84)^(1/3))</f>
        <v>3.2925061811993634</v>
      </c>
      <c r="CO166" s="64">
        <f t="shared" si="1140"/>
        <v>1.6864625237922852</v>
      </c>
      <c r="CP166" s="64">
        <f t="shared" si="1141"/>
        <v>1.7871048890689831</v>
      </c>
      <c r="CQ166" s="110">
        <f t="shared" si="1142"/>
        <v>0.99627533344928132</v>
      </c>
      <c r="CR166" s="172" t="str">
        <f t="shared" si="1297"/>
        <v>-</v>
      </c>
      <c r="CS166" s="162"/>
      <c r="CT166" s="172" t="str">
        <f t="shared" si="1373"/>
        <v>-</v>
      </c>
      <c r="CU166" s="164"/>
      <c r="CV166" s="195" t="s">
        <v>145</v>
      </c>
      <c r="CW166" s="64">
        <v>0.88</v>
      </c>
      <c r="CX166" s="64">
        <v>0.87</v>
      </c>
      <c r="CY166" s="64">
        <v>0.91</v>
      </c>
      <c r="CZ166" s="154">
        <v>0.91</v>
      </c>
      <c r="DA166" s="64">
        <f t="shared" si="1096"/>
        <v>2.0722993742641451</v>
      </c>
      <c r="DB166" s="49">
        <f t="shared" si="1097"/>
        <v>12.624584717607974</v>
      </c>
      <c r="DC166" s="50">
        <f t="shared" si="1098"/>
        <v>0</v>
      </c>
      <c r="DE166" s="110">
        <f>IF(SeilBeregnet=0,"-",DE$7*(DG:DG+DE$6)*DL:DL*PropF+ErfaringsF+Dyp_F)</f>
        <v>0.93857440309125029</v>
      </c>
      <c r="DF166" s="144" t="str">
        <f t="shared" si="1161"/>
        <v>-</v>
      </c>
      <c r="DG166" s="110">
        <f t="shared" si="1099"/>
        <v>5.0891227066971192</v>
      </c>
      <c r="DH166" s="136">
        <f t="shared" si="1374"/>
        <v>3.3458610972531897</v>
      </c>
      <c r="DI166" s="136">
        <f t="shared" si="1375"/>
        <v>0</v>
      </c>
      <c r="DJ166" s="136">
        <f t="shared" si="1376"/>
        <v>0</v>
      </c>
      <c r="DK166" s="136">
        <f t="shared" si="1377"/>
        <v>1.7432616094439293</v>
      </c>
      <c r="DL166" s="110">
        <f t="shared" si="1378"/>
        <v>1.7871048890689831</v>
      </c>
      <c r="DM166" s="136">
        <f t="shared" si="1379"/>
        <v>2.0149017494232964</v>
      </c>
      <c r="DO166" s="110">
        <f t="shared" si="733"/>
        <v>0.96763053707008229</v>
      </c>
      <c r="DP166" s="110">
        <f t="shared" si="1100"/>
        <v>0.94313657693074437</v>
      </c>
      <c r="DR166" s="110">
        <f t="shared" si="1101"/>
        <v>0.93144762131428704</v>
      </c>
      <c r="DS166" s="125" t="str">
        <f t="shared" si="1162"/>
        <v>-</v>
      </c>
      <c r="DT166" s="110">
        <f t="shared" si="1102"/>
        <v>0.9477381698041446</v>
      </c>
      <c r="DU166" s="125" t="str">
        <f t="shared" si="1163"/>
        <v>-</v>
      </c>
      <c r="DV166" s="110">
        <f t="shared" si="214"/>
        <v>3.3455881543973964</v>
      </c>
      <c r="DW166" s="110">
        <f t="shared" si="215"/>
        <v>2.1685350061166324</v>
      </c>
      <c r="DX166" s="110">
        <f t="shared" si="1341"/>
        <v>1.5443504050509418</v>
      </c>
      <c r="DZ166" s="110">
        <f t="shared" si="1103"/>
        <v>0.94272289868457748</v>
      </c>
      <c r="EB166" s="110">
        <f t="shared" si="217"/>
        <v>3.3455881543973964</v>
      </c>
      <c r="EC166" s="110">
        <f t="shared" si="1342"/>
        <v>2.1686860967520136</v>
      </c>
      <c r="ED166" s="110">
        <f t="shared" si="1343"/>
        <v>1.7849907189041947</v>
      </c>
      <c r="EE166" s="110">
        <f t="shared" si="1104"/>
        <v>0.94207479467763777</v>
      </c>
      <c r="EG166" s="110">
        <f t="shared" si="1344"/>
        <v>5.1667604213772522</v>
      </c>
      <c r="EH166" s="110">
        <f t="shared" si="219"/>
        <v>3.3455881543973964</v>
      </c>
      <c r="EI166" s="110">
        <f t="shared" si="1345"/>
        <v>1.5443504050509418</v>
      </c>
      <c r="EJ166" s="110">
        <f t="shared" si="1346"/>
        <v>1.7871048890689831</v>
      </c>
      <c r="EK166" s="110">
        <f>IF(SeilBeregnet=0,"-",EK$7*(EK$4*EM:EM+EK$6)*EP:EP*PropF+ErfaringsF+Dyp_F)</f>
        <v>0.94369656055800855</v>
      </c>
      <c r="EM166" s="110">
        <f>IF(SeilBeregnet=0,EM165,(EN:EN*EO:EO)^EM$3)</f>
        <v>1.8169386182619269</v>
      </c>
      <c r="EN166" s="110">
        <f t="shared" si="220"/>
        <v>3.3455881543973964</v>
      </c>
      <c r="EO166" s="110">
        <f t="shared" si="1347"/>
        <v>0.98675204184723708</v>
      </c>
      <c r="EP166" s="110">
        <f t="shared" si="1348"/>
        <v>1.8064976541407809</v>
      </c>
      <c r="EQ166" s="110">
        <f>IF(SeilBeregnet=0,"-",EQ$7*(ES:ES+EQ$6)*EV:EV*PropF+ErfaringsF+Dyp_F)</f>
        <v>0.91820058832517237</v>
      </c>
      <c r="ES166" s="110">
        <f>(ET:ET*EU:EU)^ES$3</f>
        <v>1.8170127323306851</v>
      </c>
      <c r="ET166" s="110">
        <f t="shared" si="221"/>
        <v>3.3458610972531897</v>
      </c>
      <c r="EU166" s="110">
        <f t="shared" si="1349"/>
        <v>0.98675204184723708</v>
      </c>
      <c r="EV166" s="110">
        <f t="shared" si="1350"/>
        <v>1.8064976541407809</v>
      </c>
      <c r="EW166" s="110">
        <f>IF(SeilBeregnet=0,"-",EW$7*(EY:EY+EW$6)*FB:FB*PropF+ErfaringsF+Dyp_F)</f>
        <v>0.93335013903161124</v>
      </c>
      <c r="EX166" s="144" t="str">
        <f t="shared" si="1246"/>
        <v>-</v>
      </c>
      <c r="EY166" s="110">
        <f>(EZ:EZ*FA:FA)^EY$3</f>
        <v>3.257796668362253</v>
      </c>
      <c r="EZ166" s="136">
        <f t="shared" si="1352"/>
        <v>3.3458610972531897</v>
      </c>
      <c r="FA166" s="136">
        <f t="shared" si="1353"/>
        <v>0.97367959208969146</v>
      </c>
      <c r="FB166" s="110">
        <f t="shared" si="1354"/>
        <v>1.0158682847827836</v>
      </c>
      <c r="FC166" s="110">
        <f>IF(SeilBeregnet=0,"-",FC$7*(FE:FE+FC$6)*FI:FI*PropF+ErfaringsF+Dyp_F)</f>
        <v>0.94661951290839197</v>
      </c>
      <c r="FD166" s="144" t="str">
        <f t="shared" si="1247"/>
        <v>-</v>
      </c>
      <c r="FE166" s="110">
        <f>(FF:FF+FG:FG+FH:FH)^FE$3+FE$7</f>
        <v>5.4010744706899896</v>
      </c>
      <c r="FF166" s="136">
        <f t="shared" si="1356"/>
        <v>3.3458610972531897</v>
      </c>
      <c r="FG166" s="136">
        <f t="shared" si="1357"/>
        <v>0.81195176399287072</v>
      </c>
      <c r="FH166" s="136">
        <f t="shared" si="1358"/>
        <v>1.7432616094439293</v>
      </c>
      <c r="FI166" s="110">
        <f t="shared" si="1359"/>
        <v>1.7871048890689831</v>
      </c>
      <c r="FJ166" s="110">
        <f>IF(SeilBeregnet=0,"-",FJ$7*(FL:FL+FJ$6)*FO:FO*PropF+ErfaringsF+Dyp_F)</f>
        <v>0.93374848556044587</v>
      </c>
      <c r="FK166" s="144" t="str">
        <f t="shared" si="1248"/>
        <v>-</v>
      </c>
      <c r="FL166" s="110">
        <f>(FM:FM*FN:FN)^FL$3</f>
        <v>5.832711201373427</v>
      </c>
      <c r="FM166" s="136">
        <f t="shared" si="1361"/>
        <v>3.3458610972531897</v>
      </c>
      <c r="FN166" s="136">
        <f t="shared" si="1362"/>
        <v>1.7432616094439293</v>
      </c>
      <c r="FO166" s="110">
        <f t="shared" si="1363"/>
        <v>1.7871048890689831</v>
      </c>
      <c r="FQ166">
        <v>0.95</v>
      </c>
      <c r="FR166" s="64">
        <f t="shared" si="1249"/>
        <v>1.1280125797650251</v>
      </c>
      <c r="FS166" s="479"/>
      <c r="FT166" s="18"/>
      <c r="FU166" s="481"/>
      <c r="FV166" s="504"/>
      <c r="FW166" s="18"/>
      <c r="FX166" s="18"/>
      <c r="FY166" s="18"/>
      <c r="FZ166" s="18"/>
      <c r="GB166" s="18"/>
      <c r="GC166" s="481"/>
      <c r="GD166" s="8"/>
      <c r="GE166" s="8"/>
      <c r="GF166" s="8"/>
      <c r="GG166" s="8"/>
      <c r="GI166" s="18"/>
      <c r="GJ166" s="18"/>
      <c r="GK166" s="18"/>
      <c r="GL166" s="18"/>
      <c r="GM166" s="18"/>
      <c r="GN166" s="18"/>
      <c r="GO166" s="18"/>
      <c r="GP166" s="18"/>
    </row>
    <row r="167" spans="1:198" ht="15.6" x14ac:dyDescent="0.3">
      <c r="A167" s="62" t="s">
        <v>33</v>
      </c>
      <c r="B167" s="223"/>
      <c r="C167" s="14" t="str">
        <f>C165</f>
        <v>Gaffel</v>
      </c>
      <c r="G167" s="56"/>
      <c r="H167" s="209">
        <f>TBFavrundet</f>
        <v>90.999999999999986</v>
      </c>
      <c r="I167" s="65">
        <f>COUNTA(O167:AD167)</f>
        <v>3</v>
      </c>
      <c r="J167" s="228">
        <f>SUM(O167:AD167)</f>
        <v>71.800000000000011</v>
      </c>
      <c r="K167" s="119">
        <f>Seilareal/Depl^0.667/K$7</f>
        <v>1.0703120694726656</v>
      </c>
      <c r="L167" s="119">
        <f>Seilareal/Lwl/Lwl/L$7</f>
        <v>1.0471311388089912</v>
      </c>
      <c r="M167" s="95">
        <f>RiggF</f>
        <v>0.83788300835654583</v>
      </c>
      <c r="N167" s="265">
        <f>StHfaktor</f>
        <v>0.99627533344928132</v>
      </c>
      <c r="O167" s="147"/>
      <c r="P167" s="147"/>
      <c r="Q167" s="147"/>
      <c r="R167" s="169">
        <v>11.4</v>
      </c>
      <c r="S167" s="147"/>
      <c r="T167" s="169">
        <f t="shared" si="1380"/>
        <v>19.3</v>
      </c>
      <c r="U167" s="169">
        <f t="shared" si="1380"/>
        <v>41.1</v>
      </c>
      <c r="V167" s="148"/>
      <c r="W167" s="148"/>
      <c r="X167" s="148"/>
      <c r="Y167" s="147"/>
      <c r="Z167" s="147"/>
      <c r="AA167" s="147"/>
      <c r="AB167" s="147"/>
      <c r="AC167" s="147"/>
      <c r="AD167" s="147"/>
      <c r="AE167" s="260">
        <f t="shared" ref="AE167" si="1387">AE166</f>
        <v>9.9</v>
      </c>
      <c r="AF167" s="375">
        <f t="shared" si="1365"/>
        <v>0</v>
      </c>
      <c r="AG167" s="377"/>
      <c r="AH167" s="375">
        <f t="shared" si="1365"/>
        <v>0</v>
      </c>
      <c r="AI167" s="377"/>
      <c r="AJ167" s="295" t="str">
        <f t="shared" ref="AJ167" si="1388" xml:space="preserve"> AJ166</f>
        <v>Lystb</v>
      </c>
      <c r="AK167" s="47">
        <f>VLOOKUP(AJ167,Skrogform!$1:$1048576,3,FALSE)</f>
        <v>0.98</v>
      </c>
      <c r="AL167" s="66">
        <f t="shared" ref="AL167:AT167" si="1389">AL166</f>
        <v>11.7</v>
      </c>
      <c r="AM167" s="66">
        <f t="shared" si="1389"/>
        <v>10.199999999999999</v>
      </c>
      <c r="AN167" s="66">
        <f t="shared" si="1389"/>
        <v>3.85</v>
      </c>
      <c r="AO167" s="66">
        <f t="shared" si="1389"/>
        <v>1.9</v>
      </c>
      <c r="AP167" s="66">
        <f t="shared" si="1389"/>
        <v>15.17</v>
      </c>
      <c r="AQ167" s="66">
        <f t="shared" si="1389"/>
        <v>4.2</v>
      </c>
      <c r="AR167" s="66">
        <f t="shared" si="1389"/>
        <v>1</v>
      </c>
      <c r="AS167" s="284">
        <f t="shared" si="1389"/>
        <v>38</v>
      </c>
      <c r="AT167" s="284">
        <f t="shared" si="1389"/>
        <v>200</v>
      </c>
      <c r="AU167" s="284">
        <f t="shared" ref="AU167:AV167" si="1390">AU166</f>
        <v>200</v>
      </c>
      <c r="AV167" s="284">
        <f t="shared" si="1390"/>
        <v>200</v>
      </c>
      <c r="AW167" s="284"/>
      <c r="AX167" s="284">
        <f>AX166</f>
        <v>0</v>
      </c>
      <c r="AY167" s="68"/>
      <c r="AZ167" s="68"/>
      <c r="BA167" s="289"/>
      <c r="BB167" s="68"/>
      <c r="BC167" s="179"/>
      <c r="BD167" s="68"/>
      <c r="BE167" s="68"/>
      <c r="BF167" s="67" t="str">
        <f t="shared" ref="BF167:BH167" si="1391" xml:space="preserve"> BF166</f>
        <v>Seilrett</v>
      </c>
      <c r="BG167" s="295">
        <f t="shared" si="1391"/>
        <v>3</v>
      </c>
      <c r="BH167" s="295">
        <f t="shared" si="1391"/>
        <v>53</v>
      </c>
      <c r="BI167" s="47">
        <f t="shared" si="1370"/>
        <v>1</v>
      </c>
      <c r="BJ167" s="61">
        <f t="shared" si="1386"/>
        <v>0.02</v>
      </c>
      <c r="BK167" s="61"/>
      <c r="BM167" s="51">
        <f t="shared" si="1371"/>
        <v>0</v>
      </c>
      <c r="BN167" s="51">
        <f t="shared" si="1371"/>
        <v>0</v>
      </c>
      <c r="BO167" s="51">
        <f t="shared" si="1371"/>
        <v>0</v>
      </c>
      <c r="BP167" s="51">
        <f t="shared" si="1371"/>
        <v>11.4</v>
      </c>
      <c r="BQ167" s="51">
        <f t="shared" si="1371"/>
        <v>0</v>
      </c>
      <c r="BR167" s="51">
        <f t="shared" si="1371"/>
        <v>19.3</v>
      </c>
      <c r="BS167" s="52">
        <f>IF(COUNT(P167:T167)&gt;1,MINA(P167:T167)*BS$9,0)</f>
        <v>-3.42</v>
      </c>
      <c r="BT167" s="88">
        <f t="shared" si="1372"/>
        <v>32.880000000000003</v>
      </c>
      <c r="BU167" s="88">
        <f t="shared" si="1372"/>
        <v>0</v>
      </c>
      <c r="BV167" s="88">
        <f t="shared" si="1372"/>
        <v>0</v>
      </c>
      <c r="BW167" s="88">
        <f t="shared" si="1372"/>
        <v>0</v>
      </c>
      <c r="BX167" s="88">
        <f t="shared" si="1372"/>
        <v>0</v>
      </c>
      <c r="BY167" s="88">
        <f t="shared" si="1372"/>
        <v>0</v>
      </c>
      <c r="BZ167" s="88">
        <f t="shared" si="1372"/>
        <v>0</v>
      </c>
      <c r="CA167" s="88">
        <f t="shared" si="1372"/>
        <v>0</v>
      </c>
      <c r="CB167" s="88">
        <f t="shared" si="1372"/>
        <v>0</v>
      </c>
      <c r="CC167" s="88">
        <f t="shared" si="1372"/>
        <v>0</v>
      </c>
      <c r="CD167" s="103">
        <f>SUM(BM167:CC167)</f>
        <v>60.160000000000004</v>
      </c>
      <c r="CE167" s="52"/>
      <c r="CF167" s="107">
        <f>J167</f>
        <v>71.800000000000011</v>
      </c>
      <c r="CG167" s="104">
        <f>CD167/CF167</f>
        <v>0.83788300835654583</v>
      </c>
      <c r="CH167" s="53">
        <f>Seilareal/Lwl/Lwl</f>
        <v>0.6901191849288737</v>
      </c>
      <c r="CI167" s="119">
        <f>Seilareal/Depl^0.667/K$7</f>
        <v>1.0703120694726656</v>
      </c>
      <c r="CJ167" s="53">
        <f>Seilareal/Lwl/Lwl/SApRS1</f>
        <v>1.0471311388089912</v>
      </c>
      <c r="CK167" s="209"/>
      <c r="CL167" s="209">
        <f>(ROUND(TBF/CL$6,3)*CL$6)*CL$4</f>
        <v>90.999999999999986</v>
      </c>
      <c r="CM167" s="110">
        <f t="shared" si="1189"/>
        <v>0.90970222053951433</v>
      </c>
      <c r="CN167" s="64">
        <f>IF(SeilBeregnet=0,"-",(SeilBeregnet)^(1/2)*StHfaktor/(Depl+DeplTillegg/1000+Vann/1000+Diesel/1000*0.84)^(1/3))</f>
        <v>3.0835437262109178</v>
      </c>
      <c r="CO167" s="64">
        <f t="shared" si="1140"/>
        <v>1.6864625237922852</v>
      </c>
      <c r="CP167" s="64">
        <f t="shared" si="1141"/>
        <v>1.7871048890689831</v>
      </c>
      <c r="CQ167" s="110">
        <f t="shared" si="1142"/>
        <v>0.99627533344928132</v>
      </c>
      <c r="CR167" s="172" t="str">
        <f t="shared" si="1297"/>
        <v>-</v>
      </c>
      <c r="CS167" s="162"/>
      <c r="CT167" s="172" t="str">
        <f t="shared" si="1373"/>
        <v>-</v>
      </c>
      <c r="CU167" s="164"/>
      <c r="CV167" s="195" t="s">
        <v>145</v>
      </c>
      <c r="CW167" s="64">
        <v>0.83</v>
      </c>
      <c r="CX167" s="64">
        <v>0.84</v>
      </c>
      <c r="CY167" s="64">
        <v>0.86</v>
      </c>
      <c r="CZ167" s="154">
        <v>0.88</v>
      </c>
      <c r="DA167" s="64">
        <f t="shared" si="1096"/>
        <v>2.0722993742641451</v>
      </c>
      <c r="DB167" s="49">
        <f t="shared" si="1097"/>
        <v>12.624584717607974</v>
      </c>
      <c r="DC167" s="50">
        <f t="shared" si="1098"/>
        <v>0</v>
      </c>
      <c r="DE167" s="110">
        <f>IF(SeilBeregnet=0,"-",DE$7*(DG:DG+DE$6)*DL:DL*PropF+ErfaringsF+Dyp_F)</f>
        <v>0.90024597689638242</v>
      </c>
      <c r="DF167" s="144" t="str">
        <f t="shared" si="1161"/>
        <v>-</v>
      </c>
      <c r="DG167" s="110">
        <f t="shared" si="1099"/>
        <v>4.8767740244305067</v>
      </c>
      <c r="DH167" s="136">
        <f t="shared" si="1374"/>
        <v>3.1335124149865772</v>
      </c>
      <c r="DI167" s="136">
        <f t="shared" si="1375"/>
        <v>0</v>
      </c>
      <c r="DJ167" s="136">
        <f t="shared" si="1376"/>
        <v>0</v>
      </c>
      <c r="DK167" s="136">
        <f t="shared" si="1377"/>
        <v>1.7432616094439293</v>
      </c>
      <c r="DL167" s="110">
        <f t="shared" si="1378"/>
        <v>1.7871048890689831</v>
      </c>
      <c r="DM167" s="136">
        <f t="shared" si="1379"/>
        <v>2.0149017494232964</v>
      </c>
      <c r="DO167" s="110">
        <f t="shared" si="733"/>
        <v>0.92785940871379013</v>
      </c>
      <c r="DP167" s="110">
        <f t="shared" si="1100"/>
        <v>0.89707131683843533</v>
      </c>
      <c r="DR167" s="110">
        <f t="shared" si="1101"/>
        <v>0.89492159406149396</v>
      </c>
      <c r="DS167" s="125" t="str">
        <f t="shared" si="1162"/>
        <v>-</v>
      </c>
      <c r="DT167" s="110">
        <f t="shared" si="1102"/>
        <v>0.90317624438052946</v>
      </c>
      <c r="DU167" s="125" t="str">
        <f t="shared" si="1163"/>
        <v>-</v>
      </c>
      <c r="DV167" s="110">
        <f t="shared" si="214"/>
        <v>3.1332567947434322</v>
      </c>
      <c r="DW167" s="110">
        <f t="shared" si="215"/>
        <v>2.1685350061166324</v>
      </c>
      <c r="DX167" s="110">
        <f t="shared" si="1341"/>
        <v>1.5443504050509418</v>
      </c>
      <c r="DZ167" s="110">
        <f t="shared" si="1103"/>
        <v>0.90270219568650201</v>
      </c>
      <c r="EB167" s="110">
        <f t="shared" si="217"/>
        <v>3.1332567947434322</v>
      </c>
      <c r="EC167" s="110">
        <f t="shared" si="1342"/>
        <v>2.1686860967520136</v>
      </c>
      <c r="ED167" s="110">
        <f t="shared" si="1343"/>
        <v>1.7849907189041947</v>
      </c>
      <c r="EE167" s="110">
        <f t="shared" si="1104"/>
        <v>0.89988540420382168</v>
      </c>
      <c r="EG167" s="110">
        <f t="shared" si="1344"/>
        <v>4.8388464000906355</v>
      </c>
      <c r="EH167" s="110">
        <f t="shared" si="219"/>
        <v>3.1332567947434322</v>
      </c>
      <c r="EI167" s="110">
        <f t="shared" si="1345"/>
        <v>1.5443504050509418</v>
      </c>
      <c r="EJ167" s="110">
        <f t="shared" si="1346"/>
        <v>1.7871048890689831</v>
      </c>
      <c r="EK167" s="110">
        <f>IF(SeilBeregnet=0,"-",EK$7*(EK$4*EM:EM+EK$6)*EP:EP*PropF+ErfaringsF+Dyp_F)</f>
        <v>0.90259327945506607</v>
      </c>
      <c r="EM167" s="110">
        <f>IF(SeilBeregnet=0,EM166,(EN:EN*EO:EO)^EM$3)</f>
        <v>1.7583365832072115</v>
      </c>
      <c r="EN167" s="110">
        <f t="shared" si="220"/>
        <v>3.1332567947434322</v>
      </c>
      <c r="EO167" s="110">
        <f t="shared" si="1347"/>
        <v>0.98675204184723708</v>
      </c>
      <c r="EP167" s="110">
        <f t="shared" si="1348"/>
        <v>1.8064976541407809</v>
      </c>
      <c r="EQ167" s="110">
        <f>IF(SeilBeregnet=0,"-",EQ$7*(ES:ES+EQ$6)*EV:EV*PropF+ErfaringsF+Dyp_F)</f>
        <v>0.8892307696234546</v>
      </c>
      <c r="ES167" s="110">
        <f>(ET:ET*EU:EU)^ES$3</f>
        <v>1.7584083068621099</v>
      </c>
      <c r="ET167" s="110">
        <f t="shared" si="221"/>
        <v>3.1335124149865772</v>
      </c>
      <c r="EU167" s="110">
        <f t="shared" si="1349"/>
        <v>0.98675204184723708</v>
      </c>
      <c r="EV167" s="110">
        <f t="shared" si="1350"/>
        <v>1.8064976541407809</v>
      </c>
      <c r="EW167" s="110">
        <f>IF(SeilBeregnet=0,"-",EW$7*(EY:EY+EW$6)*FB:FB*PropF+ErfaringsF+Dyp_F)</f>
        <v>0.89743321383930019</v>
      </c>
      <c r="EX167" s="144" t="str">
        <f t="shared" si="1246"/>
        <v>-</v>
      </c>
      <c r="EY167" s="110">
        <f>(EZ:EZ*FA:FA)^EY$3</f>
        <v>3.0510370900321147</v>
      </c>
      <c r="EZ167" s="136">
        <f t="shared" si="1352"/>
        <v>3.1335124149865772</v>
      </c>
      <c r="FA167" s="136">
        <f t="shared" si="1353"/>
        <v>0.97367959208969146</v>
      </c>
      <c r="FB167" s="110">
        <f t="shared" si="1354"/>
        <v>1.0158682847827836</v>
      </c>
      <c r="FC167" s="110">
        <f>IF(SeilBeregnet=0,"-",FC$7*(FE:FE+FC$6)*FI:FI*PropF+ErfaringsF+Dyp_F)</f>
        <v>0.90134770092902383</v>
      </c>
      <c r="FD167" s="144" t="str">
        <f t="shared" si="1247"/>
        <v>-</v>
      </c>
      <c r="FE167" s="110">
        <f>(FF:FF+FG:FG+FH:FH)^FE$3+FE$7</f>
        <v>5.1371943942213036</v>
      </c>
      <c r="FF167" s="136">
        <f t="shared" si="1356"/>
        <v>3.1335124149865772</v>
      </c>
      <c r="FG167" s="136">
        <f t="shared" si="1357"/>
        <v>0.76042036979079686</v>
      </c>
      <c r="FH167" s="136">
        <f t="shared" si="1358"/>
        <v>1.7432616094439293</v>
      </c>
      <c r="FI167" s="110">
        <f t="shared" si="1359"/>
        <v>1.7871048890689831</v>
      </c>
      <c r="FJ167" s="110">
        <f>IF(SeilBeregnet=0,"-",FJ$7*(FL:FL+FJ$6)*FO:FO*PropF+ErfaringsF+Dyp_F)</f>
        <v>0.89934792472215119</v>
      </c>
      <c r="FK167" s="144" t="str">
        <f t="shared" si="1248"/>
        <v>-</v>
      </c>
      <c r="FL167" s="110">
        <f>(FM:FM*FN:FN)^FL$3</f>
        <v>5.4625318957620337</v>
      </c>
      <c r="FM167" s="136">
        <f t="shared" si="1361"/>
        <v>3.1335124149865772</v>
      </c>
      <c r="FN167" s="136">
        <f t="shared" si="1362"/>
        <v>1.7432616094439293</v>
      </c>
      <c r="FO167" s="110">
        <f t="shared" si="1363"/>
        <v>1.7871048890689831</v>
      </c>
      <c r="FQ167">
        <v>0.95</v>
      </c>
      <c r="FR167" s="64">
        <f t="shared" si="1249"/>
        <v>1.0942964094066072</v>
      </c>
      <c r="FS167" s="479"/>
      <c r="FT167" s="18"/>
      <c r="FU167" s="481"/>
      <c r="FV167" s="504"/>
      <c r="FW167" s="18"/>
      <c r="FX167" s="18"/>
      <c r="FY167" s="18"/>
      <c r="FZ167" s="18"/>
      <c r="GB167" s="18"/>
      <c r="GC167" s="481"/>
      <c r="GD167" s="8"/>
      <c r="GE167" s="8"/>
      <c r="GF167" s="8"/>
      <c r="GG167" s="8"/>
      <c r="GI167" s="18"/>
      <c r="GJ167" s="18"/>
      <c r="GK167" s="18"/>
      <c r="GL167" s="18"/>
      <c r="GM167" s="18"/>
      <c r="GN167" s="18"/>
      <c r="GO167" s="18"/>
      <c r="GP167" s="18"/>
    </row>
    <row r="168" spans="1:198" ht="15.6" x14ac:dyDescent="0.3">
      <c r="A168" s="62" t="s">
        <v>36</v>
      </c>
      <c r="B168" s="223"/>
      <c r="C168" s="14" t="str">
        <f>C166</f>
        <v>Gaffel</v>
      </c>
      <c r="G168" s="56"/>
      <c r="H168" s="209">
        <f>TBFavrundet</f>
        <v>86.999999999999986</v>
      </c>
      <c r="I168" s="65">
        <f>COUNTA(O168:AD168)</f>
        <v>2</v>
      </c>
      <c r="J168" s="228">
        <f>SUM(O168:AD168)</f>
        <v>60.400000000000006</v>
      </c>
      <c r="K168" s="119">
        <f>Seilareal/Depl^0.667/K$7</f>
        <v>0.90037394145054317</v>
      </c>
      <c r="L168" s="119">
        <f>Seilareal/Lwl/Lwl/L$7</f>
        <v>0.88087354852455546</v>
      </c>
      <c r="M168" s="95">
        <f>RiggF</f>
        <v>0.86390728476821199</v>
      </c>
      <c r="N168" s="265">
        <f>StHfaktor</f>
        <v>0.99627533344928132</v>
      </c>
      <c r="O168" s="147"/>
      <c r="P168" s="147"/>
      <c r="Q168" s="147"/>
      <c r="R168" s="147"/>
      <c r="S168" s="147"/>
      <c r="T168" s="169">
        <f t="shared" si="1380"/>
        <v>19.3</v>
      </c>
      <c r="U168" s="169">
        <f t="shared" si="1380"/>
        <v>41.1</v>
      </c>
      <c r="V168" s="148"/>
      <c r="W168" s="148"/>
      <c r="X168" s="148"/>
      <c r="Y168" s="147"/>
      <c r="Z168" s="147"/>
      <c r="AA168" s="147"/>
      <c r="AB168" s="147"/>
      <c r="AC168" s="147"/>
      <c r="AD168" s="148"/>
      <c r="AE168" s="260">
        <f t="shared" ref="AE168" si="1392">AE167</f>
        <v>9.9</v>
      </c>
      <c r="AF168" s="375">
        <f t="shared" si="1365"/>
        <v>0</v>
      </c>
      <c r="AG168" s="377"/>
      <c r="AH168" s="375">
        <f t="shared" si="1365"/>
        <v>0</v>
      </c>
      <c r="AI168" s="377"/>
      <c r="AJ168" s="295" t="str">
        <f t="shared" ref="AJ168" si="1393" xml:space="preserve"> AJ167</f>
        <v>Lystb</v>
      </c>
      <c r="AK168" s="47">
        <f>VLOOKUP(AJ168,Skrogform!$1:$1048576,3,FALSE)</f>
        <v>0.98</v>
      </c>
      <c r="AL168" s="66">
        <f t="shared" ref="AL168:AT168" si="1394">AL167</f>
        <v>11.7</v>
      </c>
      <c r="AM168" s="66">
        <f t="shared" si="1394"/>
        <v>10.199999999999999</v>
      </c>
      <c r="AN168" s="66">
        <f t="shared" si="1394"/>
        <v>3.85</v>
      </c>
      <c r="AO168" s="66">
        <f t="shared" si="1394"/>
        <v>1.9</v>
      </c>
      <c r="AP168" s="66">
        <f t="shared" si="1394"/>
        <v>15.17</v>
      </c>
      <c r="AQ168" s="66">
        <f t="shared" si="1394"/>
        <v>4.2</v>
      </c>
      <c r="AR168" s="66">
        <f t="shared" si="1394"/>
        <v>1</v>
      </c>
      <c r="AS168" s="284">
        <f t="shared" si="1394"/>
        <v>38</v>
      </c>
      <c r="AT168" s="284">
        <f t="shared" si="1394"/>
        <v>200</v>
      </c>
      <c r="AU168" s="284">
        <f t="shared" ref="AU168:AV168" si="1395">AU167</f>
        <v>200</v>
      </c>
      <c r="AV168" s="284">
        <f t="shared" si="1395"/>
        <v>200</v>
      </c>
      <c r="AW168" s="284"/>
      <c r="AX168" s="284">
        <f>AX167</f>
        <v>0</v>
      </c>
      <c r="AY168" s="68"/>
      <c r="AZ168" s="68"/>
      <c r="BA168" s="289"/>
      <c r="BB168" s="68"/>
      <c r="BC168" s="179"/>
      <c r="BD168" s="68"/>
      <c r="BE168" s="68"/>
      <c r="BF168" s="67" t="str">
        <f t="shared" ref="BF168:BH168" si="1396" xml:space="preserve"> BF167</f>
        <v>Seilrett</v>
      </c>
      <c r="BG168" s="295">
        <f t="shared" si="1396"/>
        <v>3</v>
      </c>
      <c r="BH168" s="295">
        <f t="shared" si="1396"/>
        <v>53</v>
      </c>
      <c r="BI168" s="47">
        <f t="shared" si="1370"/>
        <v>1</v>
      </c>
      <c r="BJ168" s="61">
        <f t="shared" si="1386"/>
        <v>0.02</v>
      </c>
      <c r="BK168" s="61"/>
      <c r="BM168" s="51">
        <f t="shared" si="1371"/>
        <v>0</v>
      </c>
      <c r="BN168" s="51">
        <f t="shared" si="1371"/>
        <v>0</v>
      </c>
      <c r="BO168" s="51">
        <f t="shared" si="1371"/>
        <v>0</v>
      </c>
      <c r="BP168" s="51">
        <f t="shared" si="1371"/>
        <v>0</v>
      </c>
      <c r="BQ168" s="51">
        <f t="shared" si="1371"/>
        <v>0</v>
      </c>
      <c r="BR168" s="51">
        <f t="shared" si="1371"/>
        <v>19.3</v>
      </c>
      <c r="BS168" s="52">
        <f>IF(COUNT(P168:T168)&gt;1,MINA(P168:T168)*BS$9,0)</f>
        <v>0</v>
      </c>
      <c r="BT168" s="88">
        <f t="shared" si="1372"/>
        <v>32.880000000000003</v>
      </c>
      <c r="BU168" s="88">
        <f t="shared" si="1372"/>
        <v>0</v>
      </c>
      <c r="BV168" s="88">
        <f t="shared" si="1372"/>
        <v>0</v>
      </c>
      <c r="BW168" s="88">
        <f t="shared" si="1372"/>
        <v>0</v>
      </c>
      <c r="BX168" s="88">
        <f t="shared" si="1372"/>
        <v>0</v>
      </c>
      <c r="BY168" s="88">
        <f t="shared" si="1372"/>
        <v>0</v>
      </c>
      <c r="BZ168" s="88">
        <f t="shared" si="1372"/>
        <v>0</v>
      </c>
      <c r="CA168" s="88">
        <f t="shared" si="1372"/>
        <v>0</v>
      </c>
      <c r="CB168" s="88">
        <f t="shared" si="1372"/>
        <v>0</v>
      </c>
      <c r="CC168" s="88">
        <f t="shared" si="1372"/>
        <v>0</v>
      </c>
      <c r="CD168" s="103">
        <f>SUM(BM168:CC168)</f>
        <v>52.180000000000007</v>
      </c>
      <c r="CE168" s="52"/>
      <c r="CF168" s="107">
        <f>J168</f>
        <v>60.400000000000006</v>
      </c>
      <c r="CG168" s="104">
        <f>CD168/CF168</f>
        <v>0.86390728476821199</v>
      </c>
      <c r="CH168" s="53">
        <f>Seilareal/Lwl/Lwl</f>
        <v>0.58054594386774339</v>
      </c>
      <c r="CI168" s="119">
        <f>Seilareal/Depl^0.667/K$7</f>
        <v>0.90037394145054317</v>
      </c>
      <c r="CJ168" s="53">
        <f>Seilareal/Lwl/Lwl/SApRS1</f>
        <v>0.88087354852455546</v>
      </c>
      <c r="CK168" s="209"/>
      <c r="CL168" s="209">
        <f>(ROUND(TBF/CL$6,3)*CL$6)*CL$4</f>
        <v>86.999999999999986</v>
      </c>
      <c r="CM168" s="110">
        <f t="shared" si="1189"/>
        <v>0.87020040540422183</v>
      </c>
      <c r="CN168" s="64">
        <f>IF(SeilBeregnet=0,"-",(SeilBeregnet)^(1/2)*StHfaktor/(Depl+DeplTillegg/1000+Vann/1000+Diesel/1000*0.84)^(1/3))</f>
        <v>2.871760614140503</v>
      </c>
      <c r="CO168" s="64">
        <f t="shared" si="1140"/>
        <v>1.6864625237922852</v>
      </c>
      <c r="CP168" s="64">
        <f t="shared" si="1141"/>
        <v>1.7871048890689831</v>
      </c>
      <c r="CQ168" s="110">
        <f t="shared" si="1142"/>
        <v>0.99627533344928132</v>
      </c>
      <c r="CR168" s="172" t="str">
        <f t="shared" si="1297"/>
        <v>-</v>
      </c>
      <c r="CS168" s="162"/>
      <c r="CT168" s="172" t="str">
        <f t="shared" si="1373"/>
        <v>-</v>
      </c>
      <c r="CU168" s="164"/>
      <c r="CV168" s="195" t="s">
        <v>145</v>
      </c>
      <c r="CW168" s="64">
        <v>0.79</v>
      </c>
      <c r="CX168" s="64">
        <v>0.82</v>
      </c>
      <c r="CY168" s="64">
        <v>0.82</v>
      </c>
      <c r="CZ168" s="154" t="s">
        <v>111</v>
      </c>
      <c r="DA168" s="64">
        <f t="shared" si="1096"/>
        <v>2.0722993742641451</v>
      </c>
      <c r="DB168" s="49">
        <f t="shared" si="1097"/>
        <v>12.624584717607974</v>
      </c>
      <c r="DC168" s="50">
        <f t="shared" si="1098"/>
        <v>0</v>
      </c>
      <c r="DE168" s="110">
        <f>IF(SeilBeregnet=0,"-",DE$7*(DG:DG+DE$6)*DL:DL*PropF+ErfaringsF+Dyp_F)</f>
        <v>0.86140017858893425</v>
      </c>
      <c r="DF168" s="144" t="str">
        <f t="shared" si="1161"/>
        <v>-</v>
      </c>
      <c r="DG168" s="110">
        <f t="shared" si="1099"/>
        <v>4.6615589764595127</v>
      </c>
      <c r="DH168" s="136">
        <f t="shared" si="1374"/>
        <v>2.9182973670155836</v>
      </c>
      <c r="DI168" s="136">
        <f t="shared" si="1375"/>
        <v>0</v>
      </c>
      <c r="DJ168" s="136">
        <f t="shared" si="1376"/>
        <v>0</v>
      </c>
      <c r="DK168" s="136">
        <f t="shared" si="1377"/>
        <v>1.7432616094439293</v>
      </c>
      <c r="DL168" s="110">
        <f t="shared" si="1378"/>
        <v>1.7871048890689831</v>
      </c>
      <c r="DM168" s="136">
        <f t="shared" si="1379"/>
        <v>2.0149017494232964</v>
      </c>
      <c r="DO168" s="110">
        <f t="shared" si="733"/>
        <v>0.88755143408594073</v>
      </c>
      <c r="DP168" s="110">
        <f t="shared" si="1100"/>
        <v>0.85038424981856442</v>
      </c>
      <c r="DR168" s="110">
        <f t="shared" si="1101"/>
        <v>0.85790252418316082</v>
      </c>
      <c r="DS168" s="125" t="str">
        <f t="shared" si="1162"/>
        <v>-</v>
      </c>
      <c r="DT168" s="110">
        <f t="shared" si="1102"/>
        <v>0.858012804629667</v>
      </c>
      <c r="DU168" s="125" t="str">
        <f t="shared" si="1163"/>
        <v>-</v>
      </c>
      <c r="DV168" s="110">
        <f t="shared" si="214"/>
        <v>2.9180593032124986</v>
      </c>
      <c r="DW168" s="110">
        <f t="shared" si="215"/>
        <v>2.1685350061166324</v>
      </c>
      <c r="DX168" s="110">
        <f t="shared" si="1341"/>
        <v>1.5443504050509418</v>
      </c>
      <c r="DZ168" s="110">
        <f t="shared" si="1103"/>
        <v>0.86214127756057934</v>
      </c>
      <c r="EB168" s="110">
        <f t="shared" si="217"/>
        <v>2.9180593032124986</v>
      </c>
      <c r="EC168" s="110">
        <f t="shared" si="1342"/>
        <v>2.1686860967520136</v>
      </c>
      <c r="ED168" s="110">
        <f t="shared" si="1343"/>
        <v>1.7849907189041947</v>
      </c>
      <c r="EE168" s="110">
        <f t="shared" si="1104"/>
        <v>0.85712652480899088</v>
      </c>
      <c r="EG168" s="110">
        <f t="shared" si="1344"/>
        <v>4.5065060668788908</v>
      </c>
      <c r="EH168" s="110">
        <f t="shared" si="219"/>
        <v>2.9180593032124986</v>
      </c>
      <c r="EI168" s="110">
        <f t="shared" si="1345"/>
        <v>1.5443504050509418</v>
      </c>
      <c r="EJ168" s="110">
        <f t="shared" si="1346"/>
        <v>1.7871048890689831</v>
      </c>
      <c r="EK168" s="110">
        <f>IF(SeilBeregnet=0,"-",EK$7*(EK$4*EM:EM+EK$6)*EP:EP*PropF+ErfaringsF+Dyp_F)</f>
        <v>0.85948767054468123</v>
      </c>
      <c r="EM168" s="110">
        <f>IF(SeilBeregnet=0,EM167,(EN:EN*EO:EO)^EM$3)</f>
        <v>1.6968797764356374</v>
      </c>
      <c r="EN168" s="110">
        <f t="shared" si="220"/>
        <v>2.9180593032124986</v>
      </c>
      <c r="EO168" s="110">
        <f t="shared" si="1347"/>
        <v>0.98675204184723708</v>
      </c>
      <c r="EP168" s="110">
        <f t="shared" si="1348"/>
        <v>1.8064976541407809</v>
      </c>
      <c r="EQ168" s="110">
        <f>IF(SeilBeregnet=0,"-",EQ$7*(ES:ES+EQ$6)*EV:EV*PropF+ErfaringsF+Dyp_F)</f>
        <v>0.85884969926477672</v>
      </c>
      <c r="ES168" s="110">
        <f>(ET:ET*EU:EU)^ES$3</f>
        <v>1.6969489932287425</v>
      </c>
      <c r="ET168" s="110">
        <f t="shared" si="221"/>
        <v>2.9182973670155836</v>
      </c>
      <c r="EU168" s="110">
        <f t="shared" si="1349"/>
        <v>0.98675204184723708</v>
      </c>
      <c r="EV168" s="110">
        <f t="shared" si="1350"/>
        <v>1.8064976541407809</v>
      </c>
      <c r="EW168" s="110">
        <f>IF(SeilBeregnet=0,"-",EW$7*(EY:EY+EW$6)*FB:FB*PropF+ErfaringsF+Dyp_F)</f>
        <v>0.86103146791968743</v>
      </c>
      <c r="EX168" s="144" t="str">
        <f t="shared" si="1246"/>
        <v>-</v>
      </c>
      <c r="EY168" s="110">
        <f>(EZ:EZ*FA:FA)^EY$3</f>
        <v>2.841486589912154</v>
      </c>
      <c r="EZ168" s="136">
        <f t="shared" si="1352"/>
        <v>2.9182973670155836</v>
      </c>
      <c r="FA168" s="136">
        <f t="shared" si="1353"/>
        <v>0.97367959208969146</v>
      </c>
      <c r="FB168" s="110">
        <f t="shared" si="1354"/>
        <v>1.0158682847827836</v>
      </c>
      <c r="FC168" s="110">
        <f>IF(SeilBeregnet=0,"-",FC$7*(FE:FE+FC$6)*FI:FI*PropF+ErfaringsF+Dyp_F)</f>
        <v>0.85546479229556882</v>
      </c>
      <c r="FD168" s="144" t="str">
        <f t="shared" si="1247"/>
        <v>-</v>
      </c>
      <c r="FE168" s="110">
        <f>(FF:FF+FG:FG+FH:FH)^FE$3+FE$7</f>
        <v>4.8697523611010114</v>
      </c>
      <c r="FF168" s="136">
        <f t="shared" si="1356"/>
        <v>2.9182973670155836</v>
      </c>
      <c r="FG168" s="136">
        <f t="shared" si="1357"/>
        <v>0.70819338464149817</v>
      </c>
      <c r="FH168" s="136">
        <f t="shared" si="1358"/>
        <v>1.7432616094439293</v>
      </c>
      <c r="FI168" s="110">
        <f t="shared" si="1359"/>
        <v>1.7871048890689831</v>
      </c>
      <c r="FJ168" s="110">
        <f>IF(SeilBeregnet=0,"-",FJ$7*(FL:FL+FJ$6)*FO:FO*PropF+ErfaringsF+Dyp_F)</f>
        <v>0.86448301163666641</v>
      </c>
      <c r="FK168" s="144" t="str">
        <f t="shared" si="1248"/>
        <v>-</v>
      </c>
      <c r="FL168" s="110">
        <f>(FM:FM*FN:FN)^FL$3</f>
        <v>5.0873557648595673</v>
      </c>
      <c r="FM168" s="136">
        <f t="shared" si="1361"/>
        <v>2.9182973670155836</v>
      </c>
      <c r="FN168" s="136">
        <f t="shared" si="1362"/>
        <v>1.7432616094439293</v>
      </c>
      <c r="FO168" s="110">
        <f t="shared" si="1363"/>
        <v>1.7871048890689831</v>
      </c>
      <c r="FQ168">
        <v>0.95</v>
      </c>
      <c r="FR168" s="64">
        <f t="shared" si="1249"/>
        <v>1.0601251249718173</v>
      </c>
      <c r="FS168" s="479"/>
      <c r="FT168" s="18"/>
      <c r="FU168" s="481"/>
      <c r="FV168" s="504"/>
      <c r="FW168" s="18"/>
      <c r="FX168" s="18"/>
      <c r="FY168" s="18"/>
      <c r="FZ168" s="18"/>
      <c r="GB168" s="18"/>
      <c r="GC168" s="481"/>
      <c r="GD168" s="8"/>
      <c r="GE168" s="8"/>
      <c r="GF168" s="8"/>
      <c r="GG168" s="8"/>
      <c r="GI168" s="18"/>
      <c r="GJ168" s="18"/>
      <c r="GK168" s="18"/>
      <c r="GL168" s="18"/>
      <c r="GM168" s="18"/>
      <c r="GN168" s="18"/>
      <c r="GO168" s="18"/>
      <c r="GP168" s="18"/>
    </row>
    <row r="169" spans="1:198" ht="15.6" x14ac:dyDescent="0.3">
      <c r="A169" s="54" t="s">
        <v>57</v>
      </c>
      <c r="B169" s="223">
        <f t="shared" si="199"/>
        <v>43.307086614173222</v>
      </c>
      <c r="C169" s="55" t="s">
        <v>22</v>
      </c>
      <c r="D169" s="55"/>
      <c r="E169" s="55"/>
      <c r="F169" s="55"/>
      <c r="G169" s="56"/>
      <c r="H169" s="209"/>
      <c r="I169" s="126" t="str">
        <f>A169</f>
        <v>Marieto</v>
      </c>
      <c r="J169" s="229"/>
      <c r="K169" s="119"/>
      <c r="L169" s="119"/>
      <c r="M169" s="95"/>
      <c r="N169" s="265"/>
      <c r="O169" s="169"/>
      <c r="P169" s="169"/>
      <c r="Q169" s="169">
        <v>29.4</v>
      </c>
      <c r="R169" s="169">
        <v>15</v>
      </c>
      <c r="S169" s="169"/>
      <c r="T169" s="169">
        <v>18.2</v>
      </c>
      <c r="U169" s="181">
        <v>52.3</v>
      </c>
      <c r="V169" s="181">
        <f>StorS-StorS/6</f>
        <v>43.583333333333329</v>
      </c>
      <c r="W169" s="181">
        <f>StorS-StorS/6*1.9</f>
        <v>35.73833333333333</v>
      </c>
      <c r="X169" s="169"/>
      <c r="Y169" s="169">
        <v>12.4</v>
      </c>
      <c r="Z169" s="169"/>
      <c r="AA169" s="169"/>
      <c r="AB169" s="169"/>
      <c r="AC169" s="169"/>
      <c r="AD169" s="169"/>
      <c r="AE169" s="270">
        <v>11.58</v>
      </c>
      <c r="AF169" s="296"/>
      <c r="AG169" s="377"/>
      <c r="AH169" s="296"/>
      <c r="AI169" s="377"/>
      <c r="AJ169" s="296" t="s">
        <v>237</v>
      </c>
      <c r="AK169" s="47">
        <f>VLOOKUP(AJ169,Skrogform!$1:$1048576,3,FALSE)</f>
        <v>0.98</v>
      </c>
      <c r="AL169" s="57">
        <v>13.2</v>
      </c>
      <c r="AM169" s="57">
        <v>11.3</v>
      </c>
      <c r="AN169" s="57">
        <v>3.78</v>
      </c>
      <c r="AO169" s="57">
        <v>2</v>
      </c>
      <c r="AP169" s="57">
        <v>18</v>
      </c>
      <c r="AQ169" s="57">
        <v>5.6</v>
      </c>
      <c r="AR169" s="57">
        <v>0.3</v>
      </c>
      <c r="AS169" s="281">
        <v>72</v>
      </c>
      <c r="AT169" s="281">
        <v>440</v>
      </c>
      <c r="AU169" s="281">
        <f>ROUND(Depl*10,-2)</f>
        <v>200</v>
      </c>
      <c r="AV169" s="281">
        <f>ROUND(Depl*10,-2)</f>
        <v>200</v>
      </c>
      <c r="AW169" s="270">
        <f>Depl+Diesel/1000+Vann/1000</f>
        <v>18.399999999999999</v>
      </c>
      <c r="AX169" s="281"/>
      <c r="AY169" s="98">
        <f>Bredde/(Loa+Lwl)*2</f>
        <v>0.30857142857142855</v>
      </c>
      <c r="AZ169" s="98">
        <f>(Kjøl+Ballast)/Depl</f>
        <v>0.32777777777777772</v>
      </c>
      <c r="BA169" s="288">
        <f>BA$7*((Depl-Kjøl-Ballast-VektMotor/1000-VektAnnet/1000)/Loa/Lwl/Bredde)</f>
        <v>0.89478869631355606</v>
      </c>
      <c r="BB169" s="98">
        <f>BB$7*(Depl/Loa/Lwl/Lwl)</f>
        <v>0.80191778674320102</v>
      </c>
      <c r="BC169" s="178">
        <f>BC$7*(Depl/Loa/Lwl/Bredde)</f>
        <v>0.88611237507300389</v>
      </c>
      <c r="BD169" s="98">
        <f>BD$7*Bredde/(Loa+Lwl)*2</f>
        <v>0.88025806451612898</v>
      </c>
      <c r="BE169" s="98">
        <f>BE$7*(Dypg/Lwl)</f>
        <v>0.9680646402462485</v>
      </c>
      <c r="BF169" s="58" t="s">
        <v>42</v>
      </c>
      <c r="BG169" s="296">
        <v>3</v>
      </c>
      <c r="BH169" s="296">
        <v>51</v>
      </c>
      <c r="BI169" s="47">
        <f t="shared" si="1370"/>
        <v>0.98462562994431868</v>
      </c>
      <c r="BJ169" s="61"/>
      <c r="BK169" s="61"/>
      <c r="BM169" s="214"/>
      <c r="BN169" s="214" t="str">
        <f>$A169</f>
        <v>Marieto</v>
      </c>
      <c r="BO169" s="10"/>
      <c r="BP169" s="10"/>
      <c r="BQ169" s="10"/>
      <c r="BR169" s="10"/>
      <c r="BS169" s="52"/>
      <c r="BT169" s="214" t="str">
        <f>$A169</f>
        <v>Marieto</v>
      </c>
      <c r="BU169" s="10"/>
      <c r="BV169" s="10"/>
      <c r="BW169" s="10"/>
      <c r="BX169" s="10"/>
      <c r="BY169" s="10"/>
      <c r="BZ169" s="10"/>
      <c r="CA169" s="10"/>
      <c r="CB169" s="10"/>
      <c r="CC169" s="10"/>
      <c r="CD169" s="214"/>
      <c r="CE169" s="10"/>
      <c r="CF169" s="214" t="str">
        <f>$A169</f>
        <v>Marieto</v>
      </c>
      <c r="CG169" s="212"/>
      <c r="CH169" s="212"/>
      <c r="CI169" s="119"/>
      <c r="CJ169" s="212"/>
      <c r="CK169" s="208"/>
      <c r="CL169" s="208" t="s">
        <v>26</v>
      </c>
      <c r="CM169" s="110" t="str">
        <f t="shared" si="1189"/>
        <v>-</v>
      </c>
      <c r="CN169" s="64" t="str">
        <f>IF(SeilBeregnet=0,"-",(SeilBeregnet)^(1/2)*StHfaktor/(Depl+DeplTillegg/1000+Vann/1000+Diesel/1000*0.84)^(1/3))</f>
        <v>-</v>
      </c>
      <c r="CO169" s="64" t="str">
        <f t="shared" si="1140"/>
        <v>-</v>
      </c>
      <c r="CP169" s="64" t="str">
        <f t="shared" si="1141"/>
        <v>-</v>
      </c>
      <c r="CQ169" s="110" t="str">
        <f t="shared" si="1142"/>
        <v>-</v>
      </c>
      <c r="CR169" s="172" t="str">
        <f t="shared" si="1297"/>
        <v>-</v>
      </c>
      <c r="CS169" s="162"/>
      <c r="CT169" s="172" t="str">
        <f t="shared" si="1373"/>
        <v>-</v>
      </c>
      <c r="CU169" s="164">
        <v>1.22</v>
      </c>
      <c r="CV169" s="195" t="s">
        <v>145</v>
      </c>
      <c r="CW169" s="30" t="s">
        <v>26</v>
      </c>
      <c r="CX169" s="30" t="s">
        <v>26</v>
      </c>
      <c r="CY169" s="30" t="s">
        <v>26</v>
      </c>
      <c r="CZ169" s="153">
        <v>2022</v>
      </c>
      <c r="DA169" s="64" t="str">
        <f t="shared" ref="DA169:DA203" si="1397">IF(SeilBeregnet=0,"-",((Dypg/(Lwl+DA$6-Bredde*DA$5))^(1/DA$4)*5)*DA$3*DA$7)</f>
        <v>-</v>
      </c>
      <c r="DB169" s="49">
        <f t="shared" ref="DB169:DB202" si="1398">(Dypg/(Lwl+Bredde+DB$8)*100)</f>
        <v>12.437810945273634</v>
      </c>
      <c r="DC169" s="50">
        <f t="shared" ref="DC169:DC202" si="1399">DB$7*IF(DB169&lt;DB$5,-0.04,IF(DB169&lt;DB$5*1.1,-0.03,IF(DB169&lt;DB$5*1.2,-0.02,IF(DB169&lt;DB$5*1.3,-0.01,0))))</f>
        <v>0</v>
      </c>
      <c r="DE169" s="110" t="str">
        <f>IF(SeilBeregnet=0,"-",DE$7*(DG:DG+DE$6)*DL:DL*PropF+ErfaringsF+Dyp_F)</f>
        <v>-</v>
      </c>
      <c r="DF169" s="144" t="str">
        <f t="shared" si="1161"/>
        <v>-</v>
      </c>
      <c r="DG169" s="110">
        <f t="shared" ref="DG169:DG203" si="1400">SUM(DH169:DK169)^DG$3+DG$7</f>
        <v>4.6615589764595127</v>
      </c>
      <c r="DH169" s="136">
        <f t="shared" si="1374"/>
        <v>2.9182973670155836</v>
      </c>
      <c r="DI169" s="136">
        <f t="shared" si="1375"/>
        <v>0</v>
      </c>
      <c r="DJ169" s="136">
        <f t="shared" si="1376"/>
        <v>0</v>
      </c>
      <c r="DK169" s="136">
        <f t="shared" si="1377"/>
        <v>1.7432616094439293</v>
      </c>
      <c r="DL169" s="110">
        <f t="shared" si="1378"/>
        <v>1.7871048890689831</v>
      </c>
      <c r="DM169" s="136">
        <f t="shared" si="1379"/>
        <v>2.0149017494232964</v>
      </c>
      <c r="DO169" s="110" t="str">
        <f t="shared" si="344"/>
        <v>-</v>
      </c>
      <c r="DP169" s="110" t="str">
        <f t="shared" ref="DP169:DP203" si="1401">IF(SeilBeregnet=0,"-",DP$7*(DP$4*SeilBeregnet^0.5/(Depl^0.33333*Bredde*Lwl)^0.3333*((Loa*0.03+Lwl*0.07)^0.33)*PropF+DP$6)+ErfaringsF+Dyp_F)</f>
        <v>-</v>
      </c>
      <c r="DR169" s="110" t="str">
        <f t="shared" ref="DR169:DR203" si="1402">IF(SeilBeregnet=0,"-",DR$7*(DR$4*SeilBeregnet^0.5/(Depl^0.33333*Bredde*Lwl)^0.3333*Lwl^0.3333*((Loa+Lwl)/Bredde/6)^0.25*PropF+DR$6)+ErfaringsF+Dyp_F)</f>
        <v>-</v>
      </c>
      <c r="DS169" s="125" t="str">
        <f t="shared" si="1162"/>
        <v>-</v>
      </c>
      <c r="DT169" s="110" t="str">
        <f t="shared" ref="DT169:DT203" si="1403">IF(SeilBeregnet=0,"-",DT$7*(DT$4*DV169*DW169*DX169*PropF+DT$6)+ErfaringsF+Dyp_F)</f>
        <v>-</v>
      </c>
      <c r="DU169" s="125" t="str">
        <f t="shared" si="1163"/>
        <v>-</v>
      </c>
      <c r="DV169" s="110">
        <f t="shared" si="214"/>
        <v>2.9180593032124986</v>
      </c>
      <c r="DW169" s="110">
        <f t="shared" si="215"/>
        <v>2.1685350061166324</v>
      </c>
      <c r="DX169" s="110">
        <f t="shared" si="1341"/>
        <v>1.5443504050509418</v>
      </c>
      <c r="DZ169" s="110" t="str">
        <f t="shared" ref="DZ169:DZ203" si="1404">IF(SeilBeregnet=0,"-",DZ$7*(DZ$4*EB169*EC169*ED169*PropF+DZ$6)+ErfaringsF+Dyp_F)</f>
        <v>-</v>
      </c>
      <c r="EB169" s="110">
        <f t="shared" si="217"/>
        <v>2.9180593032124986</v>
      </c>
      <c r="EC169" s="110">
        <f t="shared" si="1342"/>
        <v>2.1686860967520136</v>
      </c>
      <c r="ED169" s="110">
        <f t="shared" si="1343"/>
        <v>1.7849907189041947</v>
      </c>
      <c r="EE169" s="110" t="str">
        <f t="shared" ref="EE169:EE203" si="1405">IF(SeilBeregnet=0,"-",EE$7*(EE$4*EG169+EE$6)*EJ169*PropF+ErfaringsF+Dyp_F)</f>
        <v>-</v>
      </c>
      <c r="EG169" s="110">
        <f t="shared" si="1344"/>
        <v>4.5065060668788908</v>
      </c>
      <c r="EH169" s="110">
        <f t="shared" si="219"/>
        <v>2.9180593032124986</v>
      </c>
      <c r="EI169" s="110">
        <f t="shared" si="1345"/>
        <v>1.5443504050509418</v>
      </c>
      <c r="EJ169" s="110">
        <f t="shared" si="1346"/>
        <v>1.7871048890689831</v>
      </c>
      <c r="EK169" s="110" t="str">
        <f>IF(SeilBeregnet=0,"-",EK$7*(EK$4*EM:EM+EK$6)*EP:EP*PropF+ErfaringsF+Dyp_F)</f>
        <v>-</v>
      </c>
      <c r="EM169" s="110">
        <f>IF(SeilBeregnet=0,EM168,(EN:EN*EO:EO)^EM$3)</f>
        <v>1.6968797764356374</v>
      </c>
      <c r="EN169" s="110">
        <f t="shared" si="220"/>
        <v>2.9180593032124986</v>
      </c>
      <c r="EO169" s="110">
        <f t="shared" si="1347"/>
        <v>0.98675204184723708</v>
      </c>
      <c r="EP169" s="110">
        <f t="shared" si="1348"/>
        <v>1.8064976541407809</v>
      </c>
      <c r="EQ169" s="110" t="str">
        <f>IF(SeilBeregnet=0,"-",EQ$7*(ES:ES+EQ$6)*EV:EV*PropF+ErfaringsF+Dyp_F)</f>
        <v>-</v>
      </c>
      <c r="ES169" s="110">
        <f>(ET:ET*EU:EU)^ES$3</f>
        <v>1.6969489932287425</v>
      </c>
      <c r="ET169" s="110">
        <f t="shared" si="221"/>
        <v>2.9182973670155836</v>
      </c>
      <c r="EU169" s="110">
        <f t="shared" si="1349"/>
        <v>0.98675204184723708</v>
      </c>
      <c r="EV169" s="110">
        <f t="shared" si="1350"/>
        <v>1.8064976541407809</v>
      </c>
      <c r="EW169" s="110" t="str">
        <f>IF(SeilBeregnet=0,"-",EW$7*(EY:EY+EW$6)*FB:FB*PropF+ErfaringsF+Dyp_F)</f>
        <v>-</v>
      </c>
      <c r="EX169" s="144" t="str">
        <f t="shared" si="1246"/>
        <v>-</v>
      </c>
      <c r="EY169" s="110">
        <f>(EZ:EZ*FA:FA)^EY$3</f>
        <v>2.841486589912154</v>
      </c>
      <c r="EZ169" s="136">
        <f t="shared" si="1352"/>
        <v>2.9182973670155836</v>
      </c>
      <c r="FA169" s="136">
        <f t="shared" si="1353"/>
        <v>0.97367959208969146</v>
      </c>
      <c r="FB169" s="110">
        <f t="shared" si="1354"/>
        <v>1.0158682847827836</v>
      </c>
      <c r="FC169" s="110" t="str">
        <f>IF(SeilBeregnet=0,"-",FC$7*(FE:FE+FC$6)*FI:FI*PropF+ErfaringsF+Dyp_F)</f>
        <v>-</v>
      </c>
      <c r="FD169" s="144" t="str">
        <f t="shared" si="1247"/>
        <v>-</v>
      </c>
      <c r="FE169" s="110">
        <f>(FF:FF+FG:FG+FH:FH)^FE$3+FE$7</f>
        <v>4.8697523611010114</v>
      </c>
      <c r="FF169" s="136">
        <f t="shared" si="1356"/>
        <v>2.9182973670155836</v>
      </c>
      <c r="FG169" s="136">
        <f t="shared" si="1357"/>
        <v>0.70819338464149817</v>
      </c>
      <c r="FH169" s="136">
        <f t="shared" si="1358"/>
        <v>1.7432616094439293</v>
      </c>
      <c r="FI169" s="110">
        <f t="shared" si="1359"/>
        <v>1.7871048890689831</v>
      </c>
      <c r="FJ169" s="110" t="str">
        <f>IF(SeilBeregnet=0,"-",FJ$7*(FL:FL+FJ$6)*FO:FO*PropF+ErfaringsF+Dyp_F)</f>
        <v>-</v>
      </c>
      <c r="FK169" s="144" t="str">
        <f t="shared" si="1248"/>
        <v>-</v>
      </c>
      <c r="FL169" s="110">
        <f>(FM:FM*FN:FN)^FL$3</f>
        <v>5.0873557648595673</v>
      </c>
      <c r="FM169" s="136">
        <f t="shared" si="1361"/>
        <v>2.9182973670155836</v>
      </c>
      <c r="FN169" s="136">
        <f t="shared" si="1362"/>
        <v>1.7432616094439293</v>
      </c>
      <c r="FO169" s="110">
        <f t="shared" si="1363"/>
        <v>1.7871048890689831</v>
      </c>
      <c r="FQ169">
        <v>0.95</v>
      </c>
      <c r="FR169" s="64" t="str">
        <f t="shared" si="1249"/>
        <v>-</v>
      </c>
      <c r="FS169" s="480"/>
      <c r="FT169" s="59"/>
      <c r="FU169" s="475"/>
      <c r="FV169" s="77"/>
      <c r="FW169" s="59"/>
      <c r="FX169" s="59"/>
      <c r="FY169" s="59"/>
      <c r="FZ169" s="59"/>
      <c r="GB169" s="59" t="s">
        <v>522</v>
      </c>
      <c r="GC169" s="475" t="s">
        <v>522</v>
      </c>
      <c r="GD169" s="60" t="s">
        <v>522</v>
      </c>
      <c r="GE169" s="60" t="s">
        <v>522</v>
      </c>
      <c r="GF169" s="60" t="s">
        <v>522</v>
      </c>
      <c r="GG169" s="60" t="s">
        <v>522</v>
      </c>
      <c r="GI169" s="59"/>
      <c r="GJ169" s="59"/>
      <c r="GK169" s="59"/>
      <c r="GL169" s="59"/>
      <c r="GM169" s="59"/>
      <c r="GN169" s="59"/>
      <c r="GO169" s="59"/>
      <c r="GP169" s="59"/>
    </row>
    <row r="170" spans="1:198" ht="15.6" x14ac:dyDescent="0.3">
      <c r="A170" s="62" t="s">
        <v>31</v>
      </c>
      <c r="B170" s="223"/>
      <c r="C170" s="63" t="str">
        <f>C169</f>
        <v>Gaffel</v>
      </c>
      <c r="D170" s="63"/>
      <c r="E170" s="63"/>
      <c r="F170" s="63"/>
      <c r="G170" s="56"/>
      <c r="H170" s="209">
        <f>TBFavrundet</f>
        <v>101.50000000000001</v>
      </c>
      <c r="I170" s="65">
        <f>COUNTA(O170:AD170)</f>
        <v>4</v>
      </c>
      <c r="J170" s="228">
        <f>SUM(O170:AD170)</f>
        <v>112.3</v>
      </c>
      <c r="K170" s="119">
        <f>Seilareal/Depl^0.667/K$7</f>
        <v>1.4935382734213862</v>
      </c>
      <c r="L170" s="119">
        <f>Seilareal/Lwl/Lwl/L$7</f>
        <v>1.3344424322238351</v>
      </c>
      <c r="M170" s="95">
        <f>RiggF</f>
        <v>0.80302760463045408</v>
      </c>
      <c r="N170" s="265">
        <f>StHfaktor</f>
        <v>1.0030642786360957</v>
      </c>
      <c r="O170" s="147"/>
      <c r="P170" s="147"/>
      <c r="Q170" s="169">
        <v>29.4</v>
      </c>
      <c r="R170" s="147"/>
      <c r="S170" s="147"/>
      <c r="T170" s="169">
        <v>18.2</v>
      </c>
      <c r="U170" s="169">
        <f>U169</f>
        <v>52.3</v>
      </c>
      <c r="V170" s="148"/>
      <c r="W170" s="148"/>
      <c r="X170" s="148"/>
      <c r="Y170" s="169">
        <v>12.4</v>
      </c>
      <c r="Z170" s="147"/>
      <c r="AA170" s="147"/>
      <c r="AB170" s="147"/>
      <c r="AC170" s="147"/>
      <c r="AD170" s="148"/>
      <c r="AE170" s="260">
        <f t="shared" ref="AE170" si="1406">AE169</f>
        <v>11.58</v>
      </c>
      <c r="AF170" s="375">
        <f t="shared" ref="AF170:AH172" si="1407" xml:space="preserve"> AF169</f>
        <v>0</v>
      </c>
      <c r="AG170" s="377"/>
      <c r="AH170" s="375">
        <f t="shared" si="1407"/>
        <v>0</v>
      </c>
      <c r="AI170" s="377"/>
      <c r="AJ170" s="295" t="str">
        <f t="shared" ref="AJ170" si="1408" xml:space="preserve"> AJ169</f>
        <v>Lystb</v>
      </c>
      <c r="AK170" s="47">
        <f>VLOOKUP(AJ170,Skrogform!$1:$1048576,3,FALSE)</f>
        <v>0.98</v>
      </c>
      <c r="AL170" s="66">
        <f t="shared" ref="AL170:AT170" si="1409">AL169</f>
        <v>13.2</v>
      </c>
      <c r="AM170" s="66">
        <f t="shared" si="1409"/>
        <v>11.3</v>
      </c>
      <c r="AN170" s="66">
        <f t="shared" si="1409"/>
        <v>3.78</v>
      </c>
      <c r="AO170" s="66">
        <f t="shared" si="1409"/>
        <v>2</v>
      </c>
      <c r="AP170" s="66">
        <f t="shared" si="1409"/>
        <v>18</v>
      </c>
      <c r="AQ170" s="66">
        <f t="shared" si="1409"/>
        <v>5.6</v>
      </c>
      <c r="AR170" s="66">
        <f t="shared" si="1409"/>
        <v>0.3</v>
      </c>
      <c r="AS170" s="284">
        <f t="shared" si="1409"/>
        <v>72</v>
      </c>
      <c r="AT170" s="284">
        <f t="shared" si="1409"/>
        <v>440</v>
      </c>
      <c r="AU170" s="284">
        <f t="shared" ref="AU170:AV170" si="1410">AU169</f>
        <v>200</v>
      </c>
      <c r="AV170" s="284">
        <f t="shared" si="1410"/>
        <v>200</v>
      </c>
      <c r="AW170" s="284"/>
      <c r="AX170" s="284">
        <f>AX169</f>
        <v>0</v>
      </c>
      <c r="AY170" s="68"/>
      <c r="AZ170" s="68"/>
      <c r="BA170" s="289"/>
      <c r="BB170" s="68"/>
      <c r="BC170" s="179"/>
      <c r="BD170" s="68"/>
      <c r="BE170" s="68"/>
      <c r="BF170" s="67" t="str">
        <f t="shared" ref="BF170:BH170" si="1411" xml:space="preserve"> BF169</f>
        <v>Fast</v>
      </c>
      <c r="BG170" s="295">
        <f t="shared" si="1411"/>
        <v>3</v>
      </c>
      <c r="BH170" s="295">
        <f t="shared" si="1411"/>
        <v>51</v>
      </c>
      <c r="BI170" s="47">
        <f t="shared" si="1370"/>
        <v>0.98462562994431868</v>
      </c>
      <c r="BJ170" s="61"/>
      <c r="BK170" s="61"/>
      <c r="BM170" s="51">
        <f t="shared" ref="BM170:BR172" si="1412">IF(O170=0,0,O170*BM$9)</f>
        <v>0</v>
      </c>
      <c r="BN170" s="51">
        <f t="shared" si="1412"/>
        <v>0</v>
      </c>
      <c r="BO170" s="51">
        <f t="shared" si="1412"/>
        <v>29.4</v>
      </c>
      <c r="BP170" s="51">
        <f t="shared" si="1412"/>
        <v>0</v>
      </c>
      <c r="BQ170" s="51">
        <f t="shared" si="1412"/>
        <v>0</v>
      </c>
      <c r="BR170" s="51">
        <f t="shared" si="1412"/>
        <v>18.2</v>
      </c>
      <c r="BS170" s="52">
        <f>IF(COUNT(P170:T170)&gt;1,MINA(P170:T170)*BS$9,0)</f>
        <v>-5.46</v>
      </c>
      <c r="BT170" s="88">
        <f t="shared" ref="BT170:CC172" si="1413">IF(U170=0,0,U170*BT$9)</f>
        <v>41.84</v>
      </c>
      <c r="BU170" s="88">
        <f t="shared" si="1413"/>
        <v>0</v>
      </c>
      <c r="BV170" s="88">
        <f t="shared" si="1413"/>
        <v>0</v>
      </c>
      <c r="BW170" s="88">
        <f t="shared" si="1413"/>
        <v>0</v>
      </c>
      <c r="BX170" s="88">
        <f t="shared" si="1413"/>
        <v>6.2</v>
      </c>
      <c r="BY170" s="88">
        <f t="shared" si="1413"/>
        <v>0</v>
      </c>
      <c r="BZ170" s="88">
        <f t="shared" si="1413"/>
        <v>0</v>
      </c>
      <c r="CA170" s="88">
        <f t="shared" si="1413"/>
        <v>0</v>
      </c>
      <c r="CB170" s="88">
        <f t="shared" si="1413"/>
        <v>0</v>
      </c>
      <c r="CC170" s="88">
        <f t="shared" si="1413"/>
        <v>0</v>
      </c>
      <c r="CD170" s="103">
        <f>SUM(BM170:CC170)</f>
        <v>90.179999999999993</v>
      </c>
      <c r="CE170" s="52"/>
      <c r="CF170" s="107">
        <f>J170</f>
        <v>112.3</v>
      </c>
      <c r="CG170" s="104">
        <f>CD170/CF170</f>
        <v>0.80302760463045408</v>
      </c>
      <c r="CH170" s="53">
        <f>Seilareal/Lwl/Lwl</f>
        <v>0.87947372542877256</v>
      </c>
      <c r="CI170" s="119">
        <f>Seilareal/Depl^0.667/K$7</f>
        <v>1.4935382734213862</v>
      </c>
      <c r="CJ170" s="53">
        <f>Seilareal/Lwl/Lwl/SApRS1</f>
        <v>1.3344424322238351</v>
      </c>
      <c r="CK170" s="209"/>
      <c r="CL170" s="209">
        <f>(ROUND(TBF/CL$6,3)*CL$6)*CL$4</f>
        <v>101.50000000000001</v>
      </c>
      <c r="CM170" s="110">
        <f t="shared" si="1189"/>
        <v>1.0169506757056272</v>
      </c>
      <c r="CN170" s="64">
        <f>IF(SeilBeregnet=0,"-",(SeilBeregnet)^(1/2)*StHfaktor/(Depl+DeplTillegg/1000+Vann/1000+Diesel/1000*0.84)^(1/3))</f>
        <v>3.5971800059217336</v>
      </c>
      <c r="CO170" s="64">
        <f t="shared" si="1140"/>
        <v>1.800205749557739</v>
      </c>
      <c r="CP170" s="64">
        <f t="shared" si="1141"/>
        <v>1.8334522799337654</v>
      </c>
      <c r="CQ170" s="110">
        <f t="shared" si="1142"/>
        <v>1.0030642786360957</v>
      </c>
      <c r="CR170" s="172" t="str">
        <f t="shared" si="1297"/>
        <v>-</v>
      </c>
      <c r="CS170" s="163">
        <f>CS169</f>
        <v>0</v>
      </c>
      <c r="CT170" s="172">
        <f t="shared" si="1373"/>
        <v>0.94175438596491234</v>
      </c>
      <c r="CU170" s="163">
        <f>CU169</f>
        <v>1.22</v>
      </c>
      <c r="CV170" s="195" t="s">
        <v>145</v>
      </c>
      <c r="CW170" s="64">
        <v>0.97</v>
      </c>
      <c r="CX170" s="64">
        <v>0.93</v>
      </c>
      <c r="CY170" s="64">
        <v>0.99</v>
      </c>
      <c r="CZ170" s="154" t="s">
        <v>111</v>
      </c>
      <c r="DA170" s="64">
        <f t="shared" si="1397"/>
        <v>2.0036834153678118</v>
      </c>
      <c r="DB170" s="49">
        <f t="shared" si="1398"/>
        <v>12.437810945273634</v>
      </c>
      <c r="DC170" s="50">
        <f t="shared" si="1399"/>
        <v>0</v>
      </c>
      <c r="DE170" s="110">
        <f>IF(SeilBeregnet=0,"-",DE$7*(DG:DG+DE$6)*DL:DL*PropF+ErfaringsF+Dyp_F)</f>
        <v>1.0014709213554935</v>
      </c>
      <c r="DF170" s="144" t="str">
        <f t="shared" si="1161"/>
        <v>-</v>
      </c>
      <c r="DG170" s="110">
        <f t="shared" si="1400"/>
        <v>5.4925778689488638</v>
      </c>
      <c r="DH170" s="136">
        <f t="shared" si="1374"/>
        <v>3.6238715003442366</v>
      </c>
      <c r="DI170" s="136">
        <f t="shared" si="1375"/>
        <v>0</v>
      </c>
      <c r="DJ170" s="136">
        <f t="shared" si="1376"/>
        <v>0</v>
      </c>
      <c r="DK170" s="136">
        <f t="shared" si="1377"/>
        <v>1.868706368604627</v>
      </c>
      <c r="DL170" s="110">
        <f t="shared" si="1378"/>
        <v>1.8334522799337654</v>
      </c>
      <c r="DM170" s="136">
        <f t="shared" si="1379"/>
        <v>1.9462473604038075</v>
      </c>
      <c r="DO170" s="110">
        <f t="shared" si="344"/>
        <v>1.037704771128191</v>
      </c>
      <c r="DP170" s="110">
        <f t="shared" si="1401"/>
        <v>1.0076181751496827</v>
      </c>
      <c r="DR170" s="110">
        <f t="shared" si="1402"/>
        <v>0.99865039051017368</v>
      </c>
      <c r="DS170" s="125" t="str">
        <f t="shared" si="1162"/>
        <v>-</v>
      </c>
      <c r="DT170" s="110">
        <f t="shared" si="1403"/>
        <v>1.0260858675213267</v>
      </c>
      <c r="DU170" s="125" t="str">
        <f t="shared" si="1163"/>
        <v>-</v>
      </c>
      <c r="DV170" s="110">
        <f t="shared" si="214"/>
        <v>3.6235572838923034</v>
      </c>
      <c r="DW170" s="110">
        <f t="shared" si="215"/>
        <v>2.2438356573015867</v>
      </c>
      <c r="DX170" s="110">
        <f t="shared" si="1341"/>
        <v>1.5955799528969328</v>
      </c>
      <c r="DZ170" s="110">
        <f t="shared" si="1404"/>
        <v>1.0189102000654113</v>
      </c>
      <c r="EB170" s="110">
        <f t="shared" si="217"/>
        <v>3.6235572838923034</v>
      </c>
      <c r="EC170" s="110">
        <f t="shared" si="1342"/>
        <v>2.2439988890031217</v>
      </c>
      <c r="ED170" s="110">
        <f t="shared" si="1343"/>
        <v>1.8643654197147781</v>
      </c>
      <c r="EE170" s="110">
        <f t="shared" si="1405"/>
        <v>1.0113630365665067</v>
      </c>
      <c r="EG170" s="110">
        <f t="shared" si="1344"/>
        <v>5.7816753603522191</v>
      </c>
      <c r="EH170" s="110">
        <f t="shared" si="219"/>
        <v>3.6235572838923034</v>
      </c>
      <c r="EI170" s="110">
        <f t="shared" si="1345"/>
        <v>1.5955799528969328</v>
      </c>
      <c r="EJ170" s="110">
        <f t="shared" si="1346"/>
        <v>1.8334522799337654</v>
      </c>
      <c r="EK170" s="110">
        <f>IF(SeilBeregnet=0,"-",EK$7*(EK$4*EM:EM+EK$6)*EP:EP*PropF+ErfaringsF+Dyp_F)</f>
        <v>1.0090576269199425</v>
      </c>
      <c r="EM170" s="110">
        <f>IF(SeilBeregnet=0,EM169,(EN:EN*EO:EO)^EM$3)</f>
        <v>1.9220201878460155</v>
      </c>
      <c r="EN170" s="110">
        <f t="shared" si="220"/>
        <v>3.6235572838923034</v>
      </c>
      <c r="EO170" s="110">
        <f t="shared" si="1347"/>
        <v>1.0194848081770873</v>
      </c>
      <c r="EP170" s="110">
        <f t="shared" si="1348"/>
        <v>1.8561483333479689</v>
      </c>
      <c r="EQ170" s="110">
        <f>IF(SeilBeregnet=0,"-",EQ$7*(ES:ES+EQ$6)*EV:EV*PropF+ErfaringsF+Dyp_F)</f>
        <v>0.96125486939910698</v>
      </c>
      <c r="ES170" s="110">
        <f>(ET:ET*EU:EU)^ES$3</f>
        <v>1.9221035199454939</v>
      </c>
      <c r="ET170" s="110">
        <f t="shared" si="221"/>
        <v>3.6238715003442366</v>
      </c>
      <c r="EU170" s="110">
        <f t="shared" si="1349"/>
        <v>1.0194848081770873</v>
      </c>
      <c r="EV170" s="110">
        <f t="shared" si="1350"/>
        <v>1.8561483333479689</v>
      </c>
      <c r="EW170" s="110">
        <f>IF(SeilBeregnet=0,"-",EW$7*(EY:EY+EW$6)*FB:FB*PropF+ErfaringsF+Dyp_F)</f>
        <v>1.0134208352718919</v>
      </c>
      <c r="EX170" s="144" t="str">
        <f t="shared" si="1246"/>
        <v>-</v>
      </c>
      <c r="EY170" s="110">
        <f>(EZ:EZ*FA:FA)^EY$3</f>
        <v>3.7664682133284937</v>
      </c>
      <c r="EZ170" s="136">
        <f t="shared" si="1352"/>
        <v>3.6238715003442366</v>
      </c>
      <c r="FA170" s="136">
        <f t="shared" si="1353"/>
        <v>1.0393492741038726</v>
      </c>
      <c r="FB170" s="110">
        <f t="shared" si="1354"/>
        <v>1.0437889135247547</v>
      </c>
      <c r="FC170" s="110">
        <f>IF(SeilBeregnet=0,"-",FC$7*(FE:FE+FC$6)*FI:FI*PropF+ErfaringsF+Dyp_F)</f>
        <v>1.0108831526485273</v>
      </c>
      <c r="FD170" s="144" t="str">
        <f t="shared" si="1247"/>
        <v>-</v>
      </c>
      <c r="FE170" s="110">
        <f>(FF:FF+FG:FG+FH:FH)^FE$3+FE$7</f>
        <v>5.8329597339760006</v>
      </c>
      <c r="FF170" s="136">
        <f t="shared" si="1356"/>
        <v>3.6238715003442366</v>
      </c>
      <c r="FG170" s="136">
        <f t="shared" si="1357"/>
        <v>0.84038186502713685</v>
      </c>
      <c r="FH170" s="136">
        <f t="shared" si="1358"/>
        <v>1.868706368604627</v>
      </c>
      <c r="FI170" s="110">
        <f t="shared" si="1359"/>
        <v>1.8334522799337654</v>
      </c>
      <c r="FJ170" s="110">
        <f>IF(SeilBeregnet=0,"-",FJ$7*(FL:FL+FJ$6)*FO:FO*PropF+ErfaringsF+Dyp_F)</f>
        <v>1.0112033282005151</v>
      </c>
      <c r="FK170" s="144" t="str">
        <f t="shared" si="1248"/>
        <v>-</v>
      </c>
      <c r="FL170" s="110">
        <f>(FM:FM*FN:FN)^FL$3</f>
        <v>6.7719517516980794</v>
      </c>
      <c r="FM170" s="136">
        <f t="shared" si="1361"/>
        <v>3.6238715003442366</v>
      </c>
      <c r="FN170" s="136">
        <f t="shared" si="1362"/>
        <v>1.868706368604627</v>
      </c>
      <c r="FO170" s="110">
        <f t="shared" si="1363"/>
        <v>1.8334522799337654</v>
      </c>
      <c r="FQ170">
        <v>0.95</v>
      </c>
      <c r="FR170" s="64">
        <f t="shared" si="1249"/>
        <v>1.2118017501398115</v>
      </c>
      <c r="FS170" s="479"/>
      <c r="FT170" s="18"/>
      <c r="FU170" s="481"/>
      <c r="FV170" s="504"/>
      <c r="FW170" s="18"/>
      <c r="FX170" s="18"/>
      <c r="FY170" s="18"/>
      <c r="FZ170" s="18"/>
      <c r="GB170" s="18"/>
      <c r="GC170" s="481"/>
      <c r="GD170" s="8"/>
      <c r="GE170" s="8"/>
      <c r="GF170" s="8"/>
      <c r="GG170" s="8"/>
      <c r="GI170" s="18"/>
      <c r="GJ170" s="18"/>
      <c r="GK170" s="18"/>
      <c r="GL170" s="18"/>
      <c r="GM170" s="18"/>
      <c r="GN170" s="18"/>
      <c r="GO170" s="18"/>
      <c r="GP170" s="18"/>
    </row>
    <row r="171" spans="1:198" ht="15.6" x14ac:dyDescent="0.3">
      <c r="A171" s="62" t="s">
        <v>32</v>
      </c>
      <c r="B171" s="223"/>
      <c r="C171" s="14" t="str">
        <f>C169</f>
        <v>Gaffel</v>
      </c>
      <c r="G171" s="56"/>
      <c r="H171" s="209">
        <f>TBFavrundet</f>
        <v>99.500000000000014</v>
      </c>
      <c r="I171" s="65">
        <f>COUNTA(O171:AD171)</f>
        <v>3</v>
      </c>
      <c r="J171" s="228">
        <f>SUM(O171:AD171)</f>
        <v>99.899999999999991</v>
      </c>
      <c r="K171" s="119">
        <f>Seilareal/Depl^0.667/K$7</f>
        <v>1.3286239849937351</v>
      </c>
      <c r="L171" s="119">
        <f>Seilareal/Lwl/Lwl/L$7</f>
        <v>1.1870952714083804</v>
      </c>
      <c r="M171" s="95">
        <f>RiggF</f>
        <v>0.84064064064064059</v>
      </c>
      <c r="N171" s="265">
        <f>StHfaktor</f>
        <v>1.0030642786360957</v>
      </c>
      <c r="O171" s="147"/>
      <c r="P171" s="147"/>
      <c r="Q171" s="169">
        <v>29.4</v>
      </c>
      <c r="R171" s="147"/>
      <c r="S171" s="147"/>
      <c r="T171" s="169">
        <v>18.2</v>
      </c>
      <c r="U171" s="169">
        <f t="shared" ref="U171:U172" si="1414">U170</f>
        <v>52.3</v>
      </c>
      <c r="V171" s="148"/>
      <c r="W171" s="148"/>
      <c r="X171" s="148"/>
      <c r="Y171" s="147"/>
      <c r="Z171" s="147"/>
      <c r="AA171" s="147"/>
      <c r="AB171" s="147"/>
      <c r="AC171" s="147"/>
      <c r="AD171" s="148"/>
      <c r="AE171" s="260">
        <f t="shared" ref="AE171" si="1415">AE170</f>
        <v>11.58</v>
      </c>
      <c r="AF171" s="375">
        <f t="shared" si="1407"/>
        <v>0</v>
      </c>
      <c r="AG171" s="377"/>
      <c r="AH171" s="375">
        <f t="shared" si="1407"/>
        <v>0</v>
      </c>
      <c r="AI171" s="377"/>
      <c r="AJ171" s="295" t="str">
        <f t="shared" ref="AJ171" si="1416" xml:space="preserve"> AJ170</f>
        <v>Lystb</v>
      </c>
      <c r="AK171" s="47">
        <f>VLOOKUP(AJ171,Skrogform!$1:$1048576,3,FALSE)</f>
        <v>0.98</v>
      </c>
      <c r="AL171" s="66">
        <f t="shared" ref="AL171:AT171" si="1417">AL170</f>
        <v>13.2</v>
      </c>
      <c r="AM171" s="66">
        <f t="shared" si="1417"/>
        <v>11.3</v>
      </c>
      <c r="AN171" s="66">
        <f t="shared" si="1417"/>
        <v>3.78</v>
      </c>
      <c r="AO171" s="66">
        <f t="shared" si="1417"/>
        <v>2</v>
      </c>
      <c r="AP171" s="66">
        <f t="shared" si="1417"/>
        <v>18</v>
      </c>
      <c r="AQ171" s="66">
        <f t="shared" si="1417"/>
        <v>5.6</v>
      </c>
      <c r="AR171" s="66">
        <f t="shared" si="1417"/>
        <v>0.3</v>
      </c>
      <c r="AS171" s="284">
        <f t="shared" si="1417"/>
        <v>72</v>
      </c>
      <c r="AT171" s="284">
        <f t="shared" si="1417"/>
        <v>440</v>
      </c>
      <c r="AU171" s="284">
        <f t="shared" ref="AU171:AV171" si="1418">AU170</f>
        <v>200</v>
      </c>
      <c r="AV171" s="284">
        <f t="shared" si="1418"/>
        <v>200</v>
      </c>
      <c r="AW171" s="284"/>
      <c r="AX171" s="284">
        <f>AX170</f>
        <v>0</v>
      </c>
      <c r="AY171" s="68"/>
      <c r="AZ171" s="68"/>
      <c r="BA171" s="289"/>
      <c r="BB171" s="68"/>
      <c r="BC171" s="179"/>
      <c r="BD171" s="68"/>
      <c r="BE171" s="68"/>
      <c r="BF171" s="67" t="str">
        <f t="shared" ref="BF171:BH171" si="1419" xml:space="preserve"> BF170</f>
        <v>Fast</v>
      </c>
      <c r="BG171" s="295">
        <f t="shared" si="1419"/>
        <v>3</v>
      </c>
      <c r="BH171" s="295">
        <f t="shared" si="1419"/>
        <v>51</v>
      </c>
      <c r="BI171" s="47">
        <f t="shared" si="1370"/>
        <v>0.98462562994431868</v>
      </c>
      <c r="BJ171" s="61"/>
      <c r="BK171" s="61"/>
      <c r="BM171" s="51">
        <f t="shared" si="1412"/>
        <v>0</v>
      </c>
      <c r="BN171" s="51">
        <f t="shared" si="1412"/>
        <v>0</v>
      </c>
      <c r="BO171" s="51">
        <f t="shared" si="1412"/>
        <v>29.4</v>
      </c>
      <c r="BP171" s="51">
        <f t="shared" si="1412"/>
        <v>0</v>
      </c>
      <c r="BQ171" s="51">
        <f t="shared" si="1412"/>
        <v>0</v>
      </c>
      <c r="BR171" s="51">
        <f t="shared" si="1412"/>
        <v>18.2</v>
      </c>
      <c r="BS171" s="52">
        <f>IF(COUNT(P171:T171)&gt;1,MINA(P171:T171)*BS$9,0)</f>
        <v>-5.46</v>
      </c>
      <c r="BT171" s="88">
        <f t="shared" si="1413"/>
        <v>41.84</v>
      </c>
      <c r="BU171" s="88">
        <f t="shared" si="1413"/>
        <v>0</v>
      </c>
      <c r="BV171" s="88">
        <f t="shared" si="1413"/>
        <v>0</v>
      </c>
      <c r="BW171" s="88">
        <f t="shared" si="1413"/>
        <v>0</v>
      </c>
      <c r="BX171" s="88">
        <f t="shared" si="1413"/>
        <v>0</v>
      </c>
      <c r="BY171" s="88">
        <f t="shared" si="1413"/>
        <v>0</v>
      </c>
      <c r="BZ171" s="88">
        <f t="shared" si="1413"/>
        <v>0</v>
      </c>
      <c r="CA171" s="88">
        <f t="shared" si="1413"/>
        <v>0</v>
      </c>
      <c r="CB171" s="88">
        <f t="shared" si="1413"/>
        <v>0</v>
      </c>
      <c r="CC171" s="88">
        <f t="shared" si="1413"/>
        <v>0</v>
      </c>
      <c r="CD171" s="103">
        <f>SUM(BM171:CC171)</f>
        <v>83.97999999999999</v>
      </c>
      <c r="CE171" s="52"/>
      <c r="CF171" s="107">
        <f>J171</f>
        <v>99.899999999999991</v>
      </c>
      <c r="CG171" s="104">
        <f>CD171/CF171</f>
        <v>0.84064064064064059</v>
      </c>
      <c r="CH171" s="53">
        <f>Seilareal/Lwl/Lwl</f>
        <v>0.78236353669042202</v>
      </c>
      <c r="CI171" s="119">
        <f>Seilareal/Depl^0.667/K$7</f>
        <v>1.3286239849937351</v>
      </c>
      <c r="CJ171" s="53">
        <f>Seilareal/Lwl/Lwl/SApRS1</f>
        <v>1.1870952714083804</v>
      </c>
      <c r="CK171" s="209"/>
      <c r="CL171" s="209">
        <f>(ROUND(TBF/CL$6,3)*CL$6)*CL$4</f>
        <v>99.500000000000014</v>
      </c>
      <c r="CM171" s="110">
        <f t="shared" si="1189"/>
        <v>0.99323722251804025</v>
      </c>
      <c r="CN171" s="64">
        <f>IF(SeilBeregnet=0,"-",(SeilBeregnet)^(1/2)*StHfaktor/(Depl+DeplTillegg/1000+Vann/1000+Diesel/1000*0.84)^(1/3))</f>
        <v>3.471322717554131</v>
      </c>
      <c r="CO171" s="64">
        <f t="shared" si="1140"/>
        <v>1.800205749557739</v>
      </c>
      <c r="CP171" s="64">
        <f t="shared" si="1141"/>
        <v>1.8334522799337654</v>
      </c>
      <c r="CQ171" s="110">
        <f t="shared" si="1142"/>
        <v>1.0030642786360957</v>
      </c>
      <c r="CR171" s="172" t="str">
        <f t="shared" si="1297"/>
        <v>-</v>
      </c>
      <c r="CS171" s="162"/>
      <c r="CT171" s="172" t="str">
        <f t="shared" si="1373"/>
        <v>-</v>
      </c>
      <c r="CU171" s="164"/>
      <c r="CV171" s="195" t="s">
        <v>145</v>
      </c>
      <c r="CW171" s="64">
        <v>0.95</v>
      </c>
      <c r="CX171" s="64">
        <v>0.91</v>
      </c>
      <c r="CY171" s="64">
        <v>0.97</v>
      </c>
      <c r="CZ171" s="154" t="s">
        <v>111</v>
      </c>
      <c r="DA171" s="64">
        <f t="shared" si="1397"/>
        <v>2.0036834153678118</v>
      </c>
      <c r="DB171" s="49">
        <f t="shared" si="1398"/>
        <v>12.437810945273634</v>
      </c>
      <c r="DC171" s="50">
        <f t="shared" si="1399"/>
        <v>0</v>
      </c>
      <c r="DE171" s="110">
        <f>IF(SeilBeregnet=0,"-",DE$7*(DG:DG+DE$6)*DL:DL*PropF+ErfaringsF+Dyp_F)</f>
        <v>0.9783528760660094</v>
      </c>
      <c r="DF171" s="144" t="str">
        <f t="shared" si="1161"/>
        <v>-</v>
      </c>
      <c r="DG171" s="110">
        <f t="shared" si="1400"/>
        <v>5.3657867048494472</v>
      </c>
      <c r="DH171" s="136">
        <f t="shared" si="1374"/>
        <v>3.4970803362448204</v>
      </c>
      <c r="DI171" s="136">
        <f t="shared" si="1375"/>
        <v>0</v>
      </c>
      <c r="DJ171" s="136">
        <f t="shared" si="1376"/>
        <v>0</v>
      </c>
      <c r="DK171" s="136">
        <f t="shared" si="1377"/>
        <v>1.868706368604627</v>
      </c>
      <c r="DL171" s="110">
        <f t="shared" si="1378"/>
        <v>1.8334522799337654</v>
      </c>
      <c r="DM171" s="136">
        <f t="shared" si="1379"/>
        <v>1.9462473604038075</v>
      </c>
      <c r="DO171" s="110">
        <f t="shared" si="344"/>
        <v>1.0135073699163677</v>
      </c>
      <c r="DP171" s="110">
        <f t="shared" si="1401"/>
        <v>0.97926736178921359</v>
      </c>
      <c r="DR171" s="110">
        <f t="shared" si="1402"/>
        <v>0.9754631855871958</v>
      </c>
      <c r="DS171" s="125" t="str">
        <f t="shared" si="1162"/>
        <v>-</v>
      </c>
      <c r="DT171" s="110">
        <f t="shared" si="1403"/>
        <v>0.99807867305634734</v>
      </c>
      <c r="DU171" s="125" t="str">
        <f t="shared" si="1163"/>
        <v>-</v>
      </c>
      <c r="DV171" s="110">
        <f t="shared" si="214"/>
        <v>3.4967771135242365</v>
      </c>
      <c r="DW171" s="110">
        <f t="shared" si="215"/>
        <v>2.2438356573015867</v>
      </c>
      <c r="DX171" s="110">
        <f t="shared" si="1341"/>
        <v>1.5955799528969328</v>
      </c>
      <c r="DZ171" s="110">
        <f t="shared" si="1404"/>
        <v>0.99348209139560961</v>
      </c>
      <c r="EB171" s="110">
        <f t="shared" si="217"/>
        <v>3.4967771135242365</v>
      </c>
      <c r="EC171" s="110">
        <f t="shared" si="1342"/>
        <v>2.2439988890031217</v>
      </c>
      <c r="ED171" s="110">
        <f t="shared" si="1343"/>
        <v>1.8643654197147781</v>
      </c>
      <c r="EE171" s="110">
        <f t="shared" si="1405"/>
        <v>0.98507223239193864</v>
      </c>
      <c r="EG171" s="110">
        <f t="shared" si="1344"/>
        <v>5.5793874620880741</v>
      </c>
      <c r="EH171" s="110">
        <f t="shared" si="219"/>
        <v>3.4967771135242365</v>
      </c>
      <c r="EI171" s="110">
        <f t="shared" si="1345"/>
        <v>1.5955799528969328</v>
      </c>
      <c r="EJ171" s="110">
        <f t="shared" si="1346"/>
        <v>1.8334522799337654</v>
      </c>
      <c r="EK171" s="110">
        <f>IF(SeilBeregnet=0,"-",EK$7*(EK$4*EM:EM+EK$6)*EP:EP*PropF+ErfaringsF+Dyp_F)</f>
        <v>0.98498608349080286</v>
      </c>
      <c r="EM171" s="110">
        <f>IF(SeilBeregnet=0,EM170,(EN:EN*EO:EO)^EM$3)</f>
        <v>1.8880972286456239</v>
      </c>
      <c r="EN171" s="110">
        <f t="shared" si="220"/>
        <v>3.4967771135242365</v>
      </c>
      <c r="EO171" s="110">
        <f t="shared" si="1347"/>
        <v>1.0194848081770873</v>
      </c>
      <c r="EP171" s="110">
        <f t="shared" si="1348"/>
        <v>1.8561483333479689</v>
      </c>
      <c r="EQ171" s="110">
        <f>IF(SeilBeregnet=0,"-",EQ$7*(ES:ES+EQ$6)*EV:EV*PropF+ErfaringsF+Dyp_F)</f>
        <v>0.94428906960053816</v>
      </c>
      <c r="ES171" s="110">
        <f>(ET:ET*EU:EU)^ES$3</f>
        <v>1.8881790899637712</v>
      </c>
      <c r="ET171" s="110">
        <f t="shared" si="221"/>
        <v>3.4970803362448204</v>
      </c>
      <c r="EU171" s="110">
        <f t="shared" si="1349"/>
        <v>1.0194848081770873</v>
      </c>
      <c r="EV171" s="110">
        <f t="shared" si="1350"/>
        <v>1.8561483333479689</v>
      </c>
      <c r="EW171" s="110">
        <f>IF(SeilBeregnet=0,"-",EW$7*(EY:EY+EW$6)*FB:FB*PropF+ErfaringsF+Dyp_F)</f>
        <v>0.99026126841295126</v>
      </c>
      <c r="EX171" s="144" t="str">
        <f t="shared" si="1246"/>
        <v>-</v>
      </c>
      <c r="EY171" s="110">
        <f>(EZ:EZ*FA:FA)^EY$3</f>
        <v>3.6346879089589805</v>
      </c>
      <c r="EZ171" s="136">
        <f t="shared" si="1352"/>
        <v>3.4970803362448204</v>
      </c>
      <c r="FA171" s="136">
        <f t="shared" si="1353"/>
        <v>1.0393492741038726</v>
      </c>
      <c r="FB171" s="110">
        <f t="shared" si="1354"/>
        <v>1.0437889135247547</v>
      </c>
      <c r="FC171" s="110">
        <f>IF(SeilBeregnet=0,"-",FC$7*(FE:FE+FC$6)*FI:FI*PropF+ErfaringsF+Dyp_F)</f>
        <v>0.98381385331170368</v>
      </c>
      <c r="FD171" s="144" t="str">
        <f t="shared" si="1247"/>
        <v>-</v>
      </c>
      <c r="FE171" s="110">
        <f>(FF:FF+FG:FG+FH:FH)^FE$3+FE$7</f>
        <v>5.6767654867527186</v>
      </c>
      <c r="FF171" s="136">
        <f t="shared" si="1356"/>
        <v>3.4970803362448204</v>
      </c>
      <c r="FG171" s="136">
        <f t="shared" si="1357"/>
        <v>0.81097878190327133</v>
      </c>
      <c r="FH171" s="136">
        <f t="shared" si="1358"/>
        <v>1.868706368604627</v>
      </c>
      <c r="FI171" s="110">
        <f t="shared" si="1359"/>
        <v>1.8334522799337654</v>
      </c>
      <c r="FJ171" s="110">
        <f>IF(SeilBeregnet=0,"-",FJ$7*(FL:FL+FJ$6)*FO:FO*PropF+ErfaringsF+Dyp_F)</f>
        <v>0.98896131235861673</v>
      </c>
      <c r="FK171" s="144" t="str">
        <f t="shared" si="1248"/>
        <v>-</v>
      </c>
      <c r="FL171" s="110">
        <f>(FM:FM*FN:FN)^FL$3</f>
        <v>6.5350162958627065</v>
      </c>
      <c r="FM171" s="136">
        <f t="shared" si="1361"/>
        <v>3.4970803362448204</v>
      </c>
      <c r="FN171" s="136">
        <f t="shared" si="1362"/>
        <v>1.868706368604627</v>
      </c>
      <c r="FO171" s="110">
        <f t="shared" si="1363"/>
        <v>1.8334522799337654</v>
      </c>
      <c r="FQ171">
        <v>0.95</v>
      </c>
      <c r="FR171" s="64">
        <f t="shared" si="1249"/>
        <v>1.1911481982482592</v>
      </c>
      <c r="FS171" s="479"/>
      <c r="FT171" s="18"/>
      <c r="FU171" s="481"/>
      <c r="FV171" s="504"/>
      <c r="FW171" s="18"/>
      <c r="FX171" s="18"/>
      <c r="FY171" s="18"/>
      <c r="FZ171" s="18"/>
      <c r="GB171" s="18"/>
      <c r="GC171" s="481"/>
      <c r="GD171" s="8"/>
      <c r="GE171" s="8"/>
      <c r="GF171" s="8"/>
      <c r="GG171" s="8"/>
      <c r="GI171" s="18"/>
      <c r="GJ171" s="18"/>
      <c r="GK171" s="18"/>
      <c r="GL171" s="18"/>
      <c r="GM171" s="18"/>
      <c r="GN171" s="18"/>
      <c r="GO171" s="18"/>
      <c r="GP171" s="18"/>
    </row>
    <row r="172" spans="1:198" ht="15.6" x14ac:dyDescent="0.3">
      <c r="A172" s="62" t="s">
        <v>33</v>
      </c>
      <c r="B172" s="223"/>
      <c r="C172" s="14" t="str">
        <f>C170</f>
        <v>Gaffel</v>
      </c>
      <c r="G172" s="56"/>
      <c r="H172" s="209">
        <f>TBFavrundet</f>
        <v>94</v>
      </c>
      <c r="I172" s="65">
        <f>COUNTA(O172:AD172)</f>
        <v>3</v>
      </c>
      <c r="J172" s="228">
        <f>SUM(O172:AD172)</f>
        <v>85.5</v>
      </c>
      <c r="K172" s="119">
        <f>Seilareal/Depl^0.667/K$7</f>
        <v>1.1371106177874313</v>
      </c>
      <c r="L172" s="119">
        <f>Seilareal/Lwl/Lwl/L$7</f>
        <v>1.015982439493659</v>
      </c>
      <c r="M172" s="95">
        <f>RiggF</f>
        <v>0.82502923976608189</v>
      </c>
      <c r="N172" s="265">
        <f>StHfaktor</f>
        <v>1.0030642786360957</v>
      </c>
      <c r="O172" s="147"/>
      <c r="P172" s="147"/>
      <c r="Q172" s="147"/>
      <c r="R172" s="169">
        <v>15</v>
      </c>
      <c r="S172" s="147"/>
      <c r="T172" s="169">
        <v>18.2</v>
      </c>
      <c r="U172" s="169">
        <f t="shared" si="1414"/>
        <v>52.3</v>
      </c>
      <c r="V172" s="148"/>
      <c r="W172" s="148"/>
      <c r="X172" s="148"/>
      <c r="Y172" s="147"/>
      <c r="Z172" s="147"/>
      <c r="AA172" s="147"/>
      <c r="AB172" s="147"/>
      <c r="AC172" s="147"/>
      <c r="AD172" s="148"/>
      <c r="AE172" s="260">
        <f t="shared" ref="AE172" si="1420">AE171</f>
        <v>11.58</v>
      </c>
      <c r="AF172" s="375">
        <f t="shared" si="1407"/>
        <v>0</v>
      </c>
      <c r="AG172" s="377"/>
      <c r="AH172" s="375">
        <f t="shared" si="1407"/>
        <v>0</v>
      </c>
      <c r="AI172" s="377"/>
      <c r="AJ172" s="295" t="str">
        <f t="shared" ref="AJ172" si="1421" xml:space="preserve"> AJ171</f>
        <v>Lystb</v>
      </c>
      <c r="AK172" s="47">
        <f>VLOOKUP(AJ172,Skrogform!$1:$1048576,3,FALSE)</f>
        <v>0.98</v>
      </c>
      <c r="AL172" s="66">
        <f t="shared" ref="AL172:AT172" si="1422">AL171</f>
        <v>13.2</v>
      </c>
      <c r="AM172" s="66">
        <f t="shared" si="1422"/>
        <v>11.3</v>
      </c>
      <c r="AN172" s="66">
        <f t="shared" si="1422"/>
        <v>3.78</v>
      </c>
      <c r="AO172" s="66">
        <f t="shared" si="1422"/>
        <v>2</v>
      </c>
      <c r="AP172" s="66">
        <f t="shared" si="1422"/>
        <v>18</v>
      </c>
      <c r="AQ172" s="66">
        <f t="shared" si="1422"/>
        <v>5.6</v>
      </c>
      <c r="AR172" s="66">
        <f t="shared" si="1422"/>
        <v>0.3</v>
      </c>
      <c r="AS172" s="284">
        <f t="shared" si="1422"/>
        <v>72</v>
      </c>
      <c r="AT172" s="284">
        <f t="shared" si="1422"/>
        <v>440</v>
      </c>
      <c r="AU172" s="284">
        <f t="shared" ref="AU172:AV172" si="1423">AU171</f>
        <v>200</v>
      </c>
      <c r="AV172" s="284">
        <f t="shared" si="1423"/>
        <v>200</v>
      </c>
      <c r="AW172" s="284"/>
      <c r="AX172" s="284">
        <f>AX171</f>
        <v>0</v>
      </c>
      <c r="AY172" s="68"/>
      <c r="AZ172" s="68"/>
      <c r="BA172" s="289"/>
      <c r="BB172" s="68"/>
      <c r="BC172" s="179"/>
      <c r="BD172" s="68"/>
      <c r="BE172" s="68"/>
      <c r="BF172" s="67" t="str">
        <f t="shared" ref="BF172:BH172" si="1424" xml:space="preserve"> BF171</f>
        <v>Fast</v>
      </c>
      <c r="BG172" s="295">
        <f t="shared" si="1424"/>
        <v>3</v>
      </c>
      <c r="BH172" s="295">
        <f t="shared" si="1424"/>
        <v>51</v>
      </c>
      <c r="BI172" s="47">
        <f t="shared" si="1370"/>
        <v>0.98462562994431868</v>
      </c>
      <c r="BJ172" s="61"/>
      <c r="BK172" s="61"/>
      <c r="BM172" s="51">
        <f t="shared" si="1412"/>
        <v>0</v>
      </c>
      <c r="BN172" s="51">
        <f t="shared" si="1412"/>
        <v>0</v>
      </c>
      <c r="BO172" s="51">
        <f t="shared" si="1412"/>
        <v>0</v>
      </c>
      <c r="BP172" s="51">
        <f t="shared" si="1412"/>
        <v>15</v>
      </c>
      <c r="BQ172" s="51">
        <f t="shared" si="1412"/>
        <v>0</v>
      </c>
      <c r="BR172" s="51">
        <f t="shared" si="1412"/>
        <v>18.2</v>
      </c>
      <c r="BS172" s="52">
        <f>IF(COUNT(P172:T172)&gt;1,MINA(P172:T172)*BS$9,0)</f>
        <v>-4.5</v>
      </c>
      <c r="BT172" s="88">
        <f t="shared" si="1413"/>
        <v>41.84</v>
      </c>
      <c r="BU172" s="88">
        <f t="shared" si="1413"/>
        <v>0</v>
      </c>
      <c r="BV172" s="88">
        <f t="shared" si="1413"/>
        <v>0</v>
      </c>
      <c r="BW172" s="88">
        <f t="shared" si="1413"/>
        <v>0</v>
      </c>
      <c r="BX172" s="88">
        <f t="shared" si="1413"/>
        <v>0</v>
      </c>
      <c r="BY172" s="88">
        <f t="shared" si="1413"/>
        <v>0</v>
      </c>
      <c r="BZ172" s="88">
        <f t="shared" si="1413"/>
        <v>0</v>
      </c>
      <c r="CA172" s="88">
        <f t="shared" si="1413"/>
        <v>0</v>
      </c>
      <c r="CB172" s="88">
        <f t="shared" si="1413"/>
        <v>0</v>
      </c>
      <c r="CC172" s="88">
        <f t="shared" si="1413"/>
        <v>0</v>
      </c>
      <c r="CD172" s="103">
        <f>SUM(BM172:CC172)</f>
        <v>70.540000000000006</v>
      </c>
      <c r="CE172" s="52"/>
      <c r="CF172" s="107">
        <f>J172</f>
        <v>85.5</v>
      </c>
      <c r="CG172" s="104">
        <f>CD172/CF172</f>
        <v>0.82502923976608189</v>
      </c>
      <c r="CH172" s="53">
        <f>Seilareal/Lwl/Lwl</f>
        <v>0.66959041428459543</v>
      </c>
      <c r="CI172" s="119">
        <f>Seilareal/Depl^0.667/K$7</f>
        <v>1.1371106177874313</v>
      </c>
      <c r="CJ172" s="53">
        <f>Seilareal/Lwl/Lwl/SApRS1</f>
        <v>1.015982439493659</v>
      </c>
      <c r="CK172" s="209"/>
      <c r="CL172" s="209">
        <f>(ROUND(TBF/CL$6,3)*CL$6)*CL$4</f>
        <v>94</v>
      </c>
      <c r="CM172" s="110">
        <f t="shared" si="1189"/>
        <v>0.93862029363422239</v>
      </c>
      <c r="CN172" s="64">
        <f>IF(SeilBeregnet=0,"-",(SeilBeregnet)^(1/2)*StHfaktor/(Depl+DeplTillegg/1000+Vann/1000+Diesel/1000*0.84)^(1/3))</f>
        <v>3.1814476616562524</v>
      </c>
      <c r="CO172" s="64">
        <f t="shared" si="1140"/>
        <v>1.800205749557739</v>
      </c>
      <c r="CP172" s="64">
        <f t="shared" si="1141"/>
        <v>1.8334522799337654</v>
      </c>
      <c r="CQ172" s="110">
        <f t="shared" si="1142"/>
        <v>1.0030642786360957</v>
      </c>
      <c r="CR172" s="172" t="str">
        <f t="shared" si="1297"/>
        <v>-</v>
      </c>
      <c r="CS172" s="162"/>
      <c r="CT172" s="172" t="str">
        <f t="shared" si="1373"/>
        <v>-</v>
      </c>
      <c r="CU172" s="164"/>
      <c r="CV172" s="195" t="s">
        <v>145</v>
      </c>
      <c r="CW172" s="64">
        <v>0.88</v>
      </c>
      <c r="CX172" s="64">
        <v>0.87</v>
      </c>
      <c r="CY172" s="64">
        <v>0.9</v>
      </c>
      <c r="CZ172" s="154" t="s">
        <v>111</v>
      </c>
      <c r="DA172" s="64">
        <f t="shared" si="1397"/>
        <v>2.0036834153678118</v>
      </c>
      <c r="DB172" s="49">
        <f t="shared" si="1398"/>
        <v>12.437810945273634</v>
      </c>
      <c r="DC172" s="50">
        <f t="shared" si="1399"/>
        <v>0</v>
      </c>
      <c r="DE172" s="110">
        <f>IF(SeilBeregnet=0,"-",DE$7*(DG:DG+DE$6)*DL:DL*PropF+ErfaringsF+Dyp_F)</f>
        <v>0.92510729325188057</v>
      </c>
      <c r="DF172" s="144" t="str">
        <f t="shared" si="1161"/>
        <v>-</v>
      </c>
      <c r="DG172" s="110">
        <f t="shared" si="1400"/>
        <v>5.0737607422899664</v>
      </c>
      <c r="DH172" s="136">
        <f t="shared" si="1374"/>
        <v>3.2050543736853392</v>
      </c>
      <c r="DI172" s="136">
        <f t="shared" si="1375"/>
        <v>0</v>
      </c>
      <c r="DJ172" s="136">
        <f t="shared" si="1376"/>
        <v>0</v>
      </c>
      <c r="DK172" s="136">
        <f t="shared" si="1377"/>
        <v>1.868706368604627</v>
      </c>
      <c r="DL172" s="110">
        <f t="shared" si="1378"/>
        <v>1.8334522799337654</v>
      </c>
      <c r="DM172" s="136">
        <f t="shared" si="1379"/>
        <v>1.9462473604038075</v>
      </c>
      <c r="DO172" s="110">
        <f t="shared" si="344"/>
        <v>0.95777580983083921</v>
      </c>
      <c r="DP172" s="110">
        <f t="shared" si="1401"/>
        <v>0.91396964471451625</v>
      </c>
      <c r="DR172" s="110">
        <f t="shared" si="1402"/>
        <v>0.92205831400334315</v>
      </c>
      <c r="DS172" s="125" t="str">
        <f t="shared" si="1162"/>
        <v>-</v>
      </c>
      <c r="DT172" s="110">
        <f t="shared" si="1403"/>
        <v>0.93357238052153657</v>
      </c>
      <c r="DU172" s="125" t="str">
        <f t="shared" si="1163"/>
        <v>-</v>
      </c>
      <c r="DV172" s="110">
        <f t="shared" si="214"/>
        <v>3.204776471774784</v>
      </c>
      <c r="DW172" s="110">
        <f t="shared" si="215"/>
        <v>2.2438356573015867</v>
      </c>
      <c r="DX172" s="110">
        <f t="shared" si="1341"/>
        <v>1.5955799528969328</v>
      </c>
      <c r="DZ172" s="110">
        <f t="shared" si="1404"/>
        <v>0.93491596052119441</v>
      </c>
      <c r="EB172" s="110">
        <f t="shared" si="217"/>
        <v>3.204776471774784</v>
      </c>
      <c r="EC172" s="110">
        <f t="shared" si="1342"/>
        <v>2.2439988890031217</v>
      </c>
      <c r="ED172" s="110">
        <f t="shared" si="1343"/>
        <v>1.8643654197147781</v>
      </c>
      <c r="EE172" s="110">
        <f t="shared" si="1405"/>
        <v>0.92451913746553571</v>
      </c>
      <c r="EG172" s="110">
        <f t="shared" si="1344"/>
        <v>5.1134770918796084</v>
      </c>
      <c r="EH172" s="110">
        <f t="shared" si="219"/>
        <v>3.204776471774784</v>
      </c>
      <c r="EI172" s="110">
        <f t="shared" si="1345"/>
        <v>1.5955799528969328</v>
      </c>
      <c r="EJ172" s="110">
        <f t="shared" si="1346"/>
        <v>1.8334522799337654</v>
      </c>
      <c r="EK172" s="110">
        <f>IF(SeilBeregnet=0,"-",EK$7*(EK$4*EM:EM+EK$6)*EP:EP*PropF+ErfaringsF+Dyp_F)</f>
        <v>0.92782706194363052</v>
      </c>
      <c r="EM172" s="110">
        <f>IF(SeilBeregnet=0,EM171,(EN:EN*EO:EO)^EM$3)</f>
        <v>1.8075455531127724</v>
      </c>
      <c r="EN172" s="110">
        <f t="shared" si="220"/>
        <v>3.204776471774784</v>
      </c>
      <c r="EO172" s="110">
        <f t="shared" si="1347"/>
        <v>1.0194848081770873</v>
      </c>
      <c r="EP172" s="110">
        <f t="shared" si="1348"/>
        <v>1.8561483333479689</v>
      </c>
      <c r="EQ172" s="110">
        <f>IF(SeilBeregnet=0,"-",EQ$7*(ES:ES+EQ$6)*EV:EV*PropF+ErfaringsF+Dyp_F)</f>
        <v>0.90400297331817481</v>
      </c>
      <c r="ES172" s="110">
        <f>(ET:ET*EU:EU)^ES$3</f>
        <v>1.8076239219908916</v>
      </c>
      <c r="ET172" s="110">
        <f t="shared" si="221"/>
        <v>3.2050543736853392</v>
      </c>
      <c r="EU172" s="110">
        <f t="shared" si="1349"/>
        <v>1.0194848081770873</v>
      </c>
      <c r="EV172" s="110">
        <f t="shared" si="1350"/>
        <v>1.8561483333479689</v>
      </c>
      <c r="EW172" s="110">
        <f>IF(SeilBeregnet=0,"-",EW$7*(EY:EY+EW$6)*FB:FB*PropF+ErfaringsF+Dyp_F)</f>
        <v>0.9369200529388213</v>
      </c>
      <c r="EX172" s="144" t="str">
        <f t="shared" si="1246"/>
        <v>-</v>
      </c>
      <c r="EY172" s="110">
        <f>(EZ:EZ*FA:FA)^EY$3</f>
        <v>3.3311709367532991</v>
      </c>
      <c r="EZ172" s="136">
        <f t="shared" si="1352"/>
        <v>3.2050543736853392</v>
      </c>
      <c r="FA172" s="136">
        <f t="shared" si="1353"/>
        <v>1.0393492741038726</v>
      </c>
      <c r="FB172" s="110">
        <f t="shared" si="1354"/>
        <v>1.0437889135247547</v>
      </c>
      <c r="FC172" s="110">
        <f>IF(SeilBeregnet=0,"-",FC$7*(FE:FE+FC$6)*FI:FI*PropF+ErfaringsF+Dyp_F)</f>
        <v>0.92146772492969453</v>
      </c>
      <c r="FD172" s="144" t="str">
        <f t="shared" si="1247"/>
        <v>-</v>
      </c>
      <c r="FE172" s="110">
        <f>(FF:FF+FG:FG+FH:FH)^FE$3+FE$7</f>
        <v>5.3170182148066409</v>
      </c>
      <c r="FF172" s="136">
        <f t="shared" si="1356"/>
        <v>3.2050543736853392</v>
      </c>
      <c r="FG172" s="136">
        <f t="shared" si="1357"/>
        <v>0.74325747251667473</v>
      </c>
      <c r="FH172" s="136">
        <f t="shared" si="1358"/>
        <v>1.868706368604627</v>
      </c>
      <c r="FI172" s="110">
        <f t="shared" si="1359"/>
        <v>1.8334522799337654</v>
      </c>
      <c r="FJ172" s="110">
        <f>IF(SeilBeregnet=0,"-",FJ$7*(FL:FL+FJ$6)*FO:FO*PropF+ErfaringsF+Dyp_F)</f>
        <v>0.93773340439177444</v>
      </c>
      <c r="FK172" s="144" t="str">
        <f t="shared" si="1248"/>
        <v>-</v>
      </c>
      <c r="FL172" s="110">
        <f>(FM:FM*FN:FN)^FL$3</f>
        <v>5.9893055198299079</v>
      </c>
      <c r="FM172" s="136">
        <f t="shared" si="1361"/>
        <v>3.2050543736853392</v>
      </c>
      <c r="FN172" s="136">
        <f t="shared" si="1362"/>
        <v>1.868706368604627</v>
      </c>
      <c r="FO172" s="110">
        <f t="shared" si="1363"/>
        <v>1.8334522799337654</v>
      </c>
      <c r="FQ172">
        <v>0.95</v>
      </c>
      <c r="FR172" s="64">
        <f t="shared" si="1249"/>
        <v>1.143578847385027</v>
      </c>
      <c r="FS172" s="479"/>
      <c r="FT172" s="18"/>
      <c r="FU172" s="481"/>
      <c r="FV172" s="504"/>
      <c r="FW172" s="18"/>
      <c r="FX172" s="18"/>
      <c r="FY172" s="18"/>
      <c r="FZ172" s="18"/>
      <c r="GB172" s="18"/>
      <c r="GC172" s="481"/>
      <c r="GD172" s="8"/>
      <c r="GE172" s="8"/>
      <c r="GF172" s="8"/>
      <c r="GG172" s="8"/>
      <c r="GI172" s="18"/>
      <c r="GJ172" s="18"/>
      <c r="GK172" s="18"/>
      <c r="GL172" s="18"/>
      <c r="GM172" s="18"/>
      <c r="GN172" s="18"/>
      <c r="GO172" s="18"/>
      <c r="GP172" s="18"/>
    </row>
    <row r="173" spans="1:198" ht="15.6" x14ac:dyDescent="0.3">
      <c r="A173" s="54" t="s">
        <v>58</v>
      </c>
      <c r="B173" s="223">
        <f t="shared" si="199"/>
        <v>25.85301837270341</v>
      </c>
      <c r="C173" s="55" t="s">
        <v>22</v>
      </c>
      <c r="D173" s="55"/>
      <c r="E173" s="55"/>
      <c r="F173" s="55"/>
      <c r="G173" s="56"/>
      <c r="H173" s="209"/>
      <c r="I173" s="126" t="str">
        <f>A173</f>
        <v>Marita</v>
      </c>
      <c r="J173" s="229"/>
      <c r="K173" s="119"/>
      <c r="L173" s="119"/>
      <c r="M173" s="95"/>
      <c r="N173" s="265"/>
      <c r="O173" s="169"/>
      <c r="P173" s="169"/>
      <c r="Q173" s="169">
        <v>7.5</v>
      </c>
      <c r="R173" s="169">
        <v>4.5</v>
      </c>
      <c r="S173" s="169"/>
      <c r="T173" s="169">
        <v>9.1999999999999993</v>
      </c>
      <c r="U173" s="169">
        <v>20.2</v>
      </c>
      <c r="V173" s="181">
        <f>StorS-StorS/6</f>
        <v>16.833333333333332</v>
      </c>
      <c r="W173" s="181">
        <f>StorS-StorS/6*1.9</f>
        <v>13.803333333333333</v>
      </c>
      <c r="X173" s="169"/>
      <c r="Y173" s="169">
        <v>5.5</v>
      </c>
      <c r="Z173" s="169"/>
      <c r="AA173" s="169"/>
      <c r="AB173" s="169"/>
      <c r="AC173" s="169"/>
      <c r="AD173" s="169"/>
      <c r="AE173" s="270">
        <v>7.25</v>
      </c>
      <c r="AF173" s="296"/>
      <c r="AG173" s="377"/>
      <c r="AH173" s="296"/>
      <c r="AI173" s="377"/>
      <c r="AJ173" s="296" t="s">
        <v>237</v>
      </c>
      <c r="AK173" s="47">
        <f>VLOOKUP(AJ173,Skrogform!$1:$1048576,3,FALSE)</f>
        <v>0.98</v>
      </c>
      <c r="AL173" s="57">
        <v>7.88</v>
      </c>
      <c r="AM173" s="57">
        <v>7.03</v>
      </c>
      <c r="AN173" s="57">
        <v>2.52</v>
      </c>
      <c r="AO173" s="57">
        <v>1.2</v>
      </c>
      <c r="AP173" s="57">
        <v>5.2</v>
      </c>
      <c r="AQ173" s="57">
        <v>1.7</v>
      </c>
      <c r="AR173" s="57"/>
      <c r="AS173" s="281">
        <v>15</v>
      </c>
      <c r="AT173" s="281">
        <v>60</v>
      </c>
      <c r="AU173" s="281">
        <f>ROUND(Depl*10,-2)</f>
        <v>100</v>
      </c>
      <c r="AV173" s="281">
        <f>ROUND(Depl*10,-2)</f>
        <v>100</v>
      </c>
      <c r="AW173" s="270">
        <f>Depl+Diesel/1000+Vann/1000</f>
        <v>5.3999999999999995</v>
      </c>
      <c r="AX173" s="281"/>
      <c r="AY173" s="98">
        <f>Bredde/(Loa+Lwl)*2</f>
        <v>0.3380281690140845</v>
      </c>
      <c r="AZ173" s="98">
        <f>(Kjøl+Ballast)/Depl</f>
        <v>0.32692307692307693</v>
      </c>
      <c r="BA173" s="288">
        <f>BA$7*((Depl-Kjøl-Ballast-VektMotor/1000-VektAnnet/1000)/Loa/Lwl/Bredde)</f>
        <v>1.0662093151067267</v>
      </c>
      <c r="BB173" s="98">
        <f>BB$7*(Depl/Loa/Lwl/Lwl)</f>
        <v>1.0026621838746326</v>
      </c>
      <c r="BC173" s="178">
        <f>BC$7*(Depl/Loa/Lwl/Bredde)</f>
        <v>1.0339076090724066</v>
      </c>
      <c r="BD173" s="98">
        <f>BD$7*Bredde/(Loa+Lwl)*2</f>
        <v>0.96428895956383454</v>
      </c>
      <c r="BE173" s="98">
        <f>BE$7*(Dypg/Lwl)</f>
        <v>0.93363844393592665</v>
      </c>
      <c r="BF173" s="58" t="s">
        <v>42</v>
      </c>
      <c r="BG173" s="296">
        <v>2</v>
      </c>
      <c r="BH173" s="296">
        <v>38</v>
      </c>
      <c r="BI173" s="47">
        <f t="shared" si="1370"/>
        <v>0.98634917310716319</v>
      </c>
      <c r="BJ173" s="61"/>
      <c r="BK173" s="61"/>
      <c r="BM173" s="214"/>
      <c r="BN173" s="214" t="str">
        <f>$A173</f>
        <v>Marita</v>
      </c>
      <c r="BO173" s="10"/>
      <c r="BP173" s="10"/>
      <c r="BQ173" s="10"/>
      <c r="BR173" s="10"/>
      <c r="BS173" s="52"/>
      <c r="BT173" s="214" t="str">
        <f>$A173</f>
        <v>Marita</v>
      </c>
      <c r="BU173" s="10"/>
      <c r="BV173" s="10"/>
      <c r="BW173" s="10"/>
      <c r="BX173" s="10"/>
      <c r="BY173" s="10"/>
      <c r="BZ173" s="10"/>
      <c r="CA173" s="10"/>
      <c r="CB173" s="10"/>
      <c r="CC173" s="10"/>
      <c r="CD173" s="214"/>
      <c r="CE173" s="10"/>
      <c r="CF173" s="214" t="str">
        <f>$A173</f>
        <v>Marita</v>
      </c>
      <c r="CG173" s="212"/>
      <c r="CH173" s="212"/>
      <c r="CI173" s="119"/>
      <c r="CJ173" s="212"/>
      <c r="CK173" s="208"/>
      <c r="CL173" s="208" t="s">
        <v>26</v>
      </c>
      <c r="CM173" s="110" t="str">
        <f t="shared" si="1189"/>
        <v>-</v>
      </c>
      <c r="CN173" s="64" t="str">
        <f>IF(SeilBeregnet=0,"-",(SeilBeregnet)^(1/2)*StHfaktor/(Depl+DeplTillegg/1000+Vann/1000+Diesel/1000*0.84)^(1/3))</f>
        <v>-</v>
      </c>
      <c r="CO173" s="64" t="str">
        <f t="shared" si="1140"/>
        <v>-</v>
      </c>
      <c r="CP173" s="64" t="str">
        <f t="shared" si="1141"/>
        <v>-</v>
      </c>
      <c r="CQ173" s="110" t="str">
        <f t="shared" si="1142"/>
        <v>-</v>
      </c>
      <c r="CR173" s="172">
        <f t="shared" si="1297"/>
        <v>0.85929411764705887</v>
      </c>
      <c r="CS173" s="162">
        <v>0.83</v>
      </c>
      <c r="CT173" s="172" t="str">
        <f t="shared" si="1373"/>
        <v>-</v>
      </c>
      <c r="CU173" s="164">
        <v>1.1000000000000001</v>
      </c>
      <c r="CV173" s="195" t="s">
        <v>145</v>
      </c>
      <c r="CW173" s="30" t="s">
        <v>26</v>
      </c>
      <c r="CX173" s="30" t="s">
        <v>26</v>
      </c>
      <c r="CY173" s="30" t="s">
        <v>26</v>
      </c>
      <c r="CZ173" s="153">
        <v>2022</v>
      </c>
      <c r="DA173" s="64" t="str">
        <f t="shared" si="1397"/>
        <v>-</v>
      </c>
      <c r="DB173" s="49">
        <f t="shared" si="1398"/>
        <v>11.374407582938389</v>
      </c>
      <c r="DC173" s="50">
        <f t="shared" si="1399"/>
        <v>0</v>
      </c>
      <c r="DE173" s="110" t="str">
        <f>IF(SeilBeregnet=0,"-",DE$7*(DG:DG+DE$6)*DL:DL*PropF+ErfaringsF+Dyp_F)</f>
        <v>-</v>
      </c>
      <c r="DF173" s="144" t="str">
        <f t="shared" si="1161"/>
        <v>-</v>
      </c>
      <c r="DG173" s="110" t="e">
        <f t="shared" si="1400"/>
        <v>#REF!</v>
      </c>
      <c r="DH173" s="136" t="e">
        <f>IF(SeilBeregnet=0,#REF!,(SeilBeregnet^0.5/(Depl^0.3333))^DH$3*DH$7)</f>
        <v>#REF!</v>
      </c>
      <c r="DI173" s="136" t="e">
        <f>IF(SeilBeregnet=0,#REF!,(SeilBeregnet^0.5/Lwl)^DI$3*DI$7)</f>
        <v>#REF!</v>
      </c>
      <c r="DJ173" s="136" t="e">
        <f>IF(SeilBeregnet=0,#REF!,(0.1*Loa/Depl^0.3333)^DJ$3*DJ$7)</f>
        <v>#REF!</v>
      </c>
      <c r="DK173" s="136" t="e">
        <f>IF(SeilBeregnet=0,#REF!,((Loa)/Bredde)^DK$3*DK$7)</f>
        <v>#REF!</v>
      </c>
      <c r="DL173" s="110" t="e">
        <f>IF(SeilBeregnet=0,#REF!,(Lwl)^DL$3)</f>
        <v>#REF!</v>
      </c>
      <c r="DM173" s="136" t="e">
        <f>IF(SeilBeregnet=0,#REF!,(Dypg/Loa)^DM$3*5*DM$7)</f>
        <v>#REF!</v>
      </c>
      <c r="DO173" s="110" t="str">
        <f t="shared" si="344"/>
        <v>-</v>
      </c>
      <c r="DP173" s="110" t="str">
        <f t="shared" si="1401"/>
        <v>-</v>
      </c>
      <c r="DR173" s="110" t="str">
        <f t="shared" si="1402"/>
        <v>-</v>
      </c>
      <c r="DS173" s="125" t="str">
        <f t="shared" si="1162"/>
        <v>-</v>
      </c>
      <c r="DT173" s="110" t="str">
        <f t="shared" si="1403"/>
        <v>-</v>
      </c>
      <c r="DU173" s="125" t="str">
        <f t="shared" si="1163"/>
        <v>-</v>
      </c>
      <c r="DV173" s="110">
        <f t="shared" si="214"/>
        <v>3.204776471774784</v>
      </c>
      <c r="DW173" s="110">
        <f t="shared" si="215"/>
        <v>2.2438356573015867</v>
      </c>
      <c r="DX173" s="110">
        <f t="shared" si="1341"/>
        <v>1.5955799528969328</v>
      </c>
      <c r="DZ173" s="110" t="str">
        <f t="shared" si="1404"/>
        <v>-</v>
      </c>
      <c r="EB173" s="110">
        <f t="shared" si="217"/>
        <v>3.204776471774784</v>
      </c>
      <c r="EC173" s="110">
        <f t="shared" si="1342"/>
        <v>2.2439988890031217</v>
      </c>
      <c r="ED173" s="110">
        <f t="shared" si="1343"/>
        <v>1.8643654197147781</v>
      </c>
      <c r="EE173" s="110" t="str">
        <f t="shared" si="1405"/>
        <v>-</v>
      </c>
      <c r="EG173" s="110">
        <f t="shared" si="1344"/>
        <v>5.1134770918796084</v>
      </c>
      <c r="EH173" s="110">
        <f t="shared" si="219"/>
        <v>3.204776471774784</v>
      </c>
      <c r="EI173" s="110">
        <f t="shared" si="1345"/>
        <v>1.5955799528969328</v>
      </c>
      <c r="EJ173" s="110">
        <f t="shared" si="1346"/>
        <v>1.8334522799337654</v>
      </c>
      <c r="EK173" s="110" t="str">
        <f>IF(SeilBeregnet=0,"-",EK$7*(EK$4*EM:EM+EK$6)*EP:EP*PropF+ErfaringsF+Dyp_F)</f>
        <v>-</v>
      </c>
      <c r="EM173" s="110">
        <f>IF(SeilBeregnet=0,EM172,(EN:EN*EO:EO)^EM$3)</f>
        <v>1.8075455531127724</v>
      </c>
      <c r="EN173" s="110">
        <f t="shared" si="220"/>
        <v>3.204776471774784</v>
      </c>
      <c r="EO173" s="110">
        <f t="shared" si="1347"/>
        <v>1.0194848081770873</v>
      </c>
      <c r="EP173" s="110">
        <f t="shared" si="1348"/>
        <v>1.8561483333479689</v>
      </c>
      <c r="EQ173" s="110" t="str">
        <f>IF(SeilBeregnet=0,"-",EQ$7*(ES:ES+EQ$6)*EV:EV*PropF+ErfaringsF+Dyp_F)</f>
        <v>-</v>
      </c>
      <c r="ES173" s="110">
        <f>(ET:ET*EU:EU)^ES$3</f>
        <v>1.8076239219908916</v>
      </c>
      <c r="ET173" s="110">
        <f t="shared" si="221"/>
        <v>3.2050543736853392</v>
      </c>
      <c r="EU173" s="110">
        <f t="shared" si="1349"/>
        <v>1.0194848081770873</v>
      </c>
      <c r="EV173" s="110">
        <f t="shared" si="1350"/>
        <v>1.8561483333479689</v>
      </c>
      <c r="EW173" s="110" t="str">
        <f>IF(SeilBeregnet=0,"-",EW$7*(EY:EY+EW$6)*FB:FB*PropF+ErfaringsF+Dyp_F)</f>
        <v>-</v>
      </c>
      <c r="EX173" s="144" t="str">
        <f t="shared" si="1246"/>
        <v>-</v>
      </c>
      <c r="EY173" s="110">
        <f>(EZ:EZ*FA:FA)^EY$3</f>
        <v>3.3311709367532991</v>
      </c>
      <c r="EZ173" s="136">
        <f t="shared" si="1352"/>
        <v>3.2050543736853392</v>
      </c>
      <c r="FA173" s="136">
        <f t="shared" si="1353"/>
        <v>1.0393492741038726</v>
      </c>
      <c r="FB173" s="110">
        <f t="shared" si="1354"/>
        <v>1.0437889135247547</v>
      </c>
      <c r="FC173" s="110" t="str">
        <f>IF(SeilBeregnet=0,"-",FC$7*(FE:FE+FC$6)*FI:FI*PropF+ErfaringsF+Dyp_F)</f>
        <v>-</v>
      </c>
      <c r="FD173" s="144" t="str">
        <f t="shared" si="1247"/>
        <v>-</v>
      </c>
      <c r="FE173" s="110">
        <f>(FF:FF+FG:FG+FH:FH)^FE$3+FE$7</f>
        <v>5.3170182148066409</v>
      </c>
      <c r="FF173" s="136">
        <f t="shared" si="1356"/>
        <v>3.2050543736853392</v>
      </c>
      <c r="FG173" s="136">
        <f t="shared" si="1357"/>
        <v>0.74325747251667473</v>
      </c>
      <c r="FH173" s="136">
        <f t="shared" si="1358"/>
        <v>1.868706368604627</v>
      </c>
      <c r="FI173" s="110">
        <f t="shared" si="1359"/>
        <v>1.8334522799337654</v>
      </c>
      <c r="FJ173" s="110" t="str">
        <f>IF(SeilBeregnet=0,"-",FJ$7*(FL:FL+FJ$6)*FO:FO*PropF+ErfaringsF+Dyp_F)</f>
        <v>-</v>
      </c>
      <c r="FK173" s="144" t="str">
        <f t="shared" si="1248"/>
        <v>-</v>
      </c>
      <c r="FL173" s="110">
        <f>(FM:FM*FN:FN)^FL$3</f>
        <v>5.9893055198299079</v>
      </c>
      <c r="FM173" s="136">
        <f t="shared" si="1361"/>
        <v>3.2050543736853392</v>
      </c>
      <c r="FN173" s="136">
        <f t="shared" si="1362"/>
        <v>1.868706368604627</v>
      </c>
      <c r="FO173" s="110">
        <f t="shared" si="1363"/>
        <v>1.8334522799337654</v>
      </c>
      <c r="FQ173">
        <v>0.95</v>
      </c>
      <c r="FR173" s="64" t="str">
        <f t="shared" si="1249"/>
        <v>-</v>
      </c>
      <c r="FS173" s="480"/>
      <c r="FT173" s="59"/>
      <c r="FU173" s="475"/>
      <c r="FV173" s="77"/>
      <c r="FW173" s="59"/>
      <c r="FX173" s="59"/>
      <c r="FY173" s="59"/>
      <c r="FZ173" s="59"/>
      <c r="GB173" s="59" t="s">
        <v>522</v>
      </c>
      <c r="GC173" s="475" t="s">
        <v>522</v>
      </c>
      <c r="GD173" s="60" t="s">
        <v>522</v>
      </c>
      <c r="GE173" s="60" t="s">
        <v>522</v>
      </c>
      <c r="GF173" s="60" t="s">
        <v>522</v>
      </c>
      <c r="GG173" s="60" t="s">
        <v>522</v>
      </c>
      <c r="GI173" s="59"/>
      <c r="GJ173" s="59"/>
      <c r="GK173" s="59"/>
      <c r="GL173" s="59"/>
      <c r="GM173" s="59"/>
      <c r="GN173" s="59"/>
      <c r="GO173" s="59"/>
      <c r="GP173" s="59"/>
    </row>
    <row r="174" spans="1:198" ht="15.6" x14ac:dyDescent="0.3">
      <c r="A174" s="62" t="s">
        <v>31</v>
      </c>
      <c r="B174" s="223"/>
      <c r="C174" s="63" t="str">
        <f>C173</f>
        <v>Gaffel</v>
      </c>
      <c r="D174" s="63"/>
      <c r="E174" s="63"/>
      <c r="F174" s="63"/>
      <c r="G174" s="56"/>
      <c r="H174" s="209">
        <f t="shared" ref="H174:H179" si="1425">TBFavrundet</f>
        <v>83.500000000000014</v>
      </c>
      <c r="I174" s="65">
        <f t="shared" ref="I174:I179" si="1426">COUNTA(O174:AD174)</f>
        <v>4</v>
      </c>
      <c r="J174" s="228">
        <f t="shared" ref="J174:J179" si="1427">SUM(O174:AD174)</f>
        <v>42.4</v>
      </c>
      <c r="K174" s="119">
        <f t="shared" ref="K174:K179" si="1428">Seilareal/Depl^0.667/K$7</f>
        <v>1.290907093801245</v>
      </c>
      <c r="L174" s="119">
        <f t="shared" ref="L174:L179" si="1429">Seilareal/Lwl/Lwl/L$7</f>
        <v>1.3017637700751346</v>
      </c>
      <c r="M174" s="95">
        <f t="shared" ref="M174:M179" si="1430">RiggF</f>
        <v>0.78679245283018873</v>
      </c>
      <c r="N174" s="265">
        <f t="shared" ref="N174:N179" si="1431">StHfaktor</f>
        <v>1.0038592732708853</v>
      </c>
      <c r="O174" s="147"/>
      <c r="P174" s="147"/>
      <c r="Q174" s="169">
        <v>7.5</v>
      </c>
      <c r="R174" s="147"/>
      <c r="S174" s="147"/>
      <c r="T174" s="169">
        <v>9.1999999999999993</v>
      </c>
      <c r="U174" s="169">
        <v>20.2</v>
      </c>
      <c r="V174" s="148"/>
      <c r="W174" s="148"/>
      <c r="X174" s="148"/>
      <c r="Y174" s="169">
        <v>5.5</v>
      </c>
      <c r="Z174" s="147"/>
      <c r="AA174" s="147"/>
      <c r="AB174" s="147"/>
      <c r="AC174" s="147"/>
      <c r="AD174" s="148"/>
      <c r="AE174" s="260">
        <f t="shared" ref="AE174" si="1432">AE173</f>
        <v>7.25</v>
      </c>
      <c r="AF174" s="375">
        <f t="shared" ref="AF174:AH179" si="1433" xml:space="preserve"> AF173</f>
        <v>0</v>
      </c>
      <c r="AG174" s="377"/>
      <c r="AH174" s="375">
        <f t="shared" si="1433"/>
        <v>0</v>
      </c>
      <c r="AI174" s="377"/>
      <c r="AJ174" s="295" t="str">
        <f t="shared" ref="AJ174" si="1434" xml:space="preserve"> AJ173</f>
        <v>Lystb</v>
      </c>
      <c r="AK174" s="47">
        <f>VLOOKUP(AJ174,Skrogform!$1:$1048576,3,FALSE)</f>
        <v>0.98</v>
      </c>
      <c r="AL174" s="66">
        <f t="shared" ref="AL174:AT174" si="1435">AL173</f>
        <v>7.88</v>
      </c>
      <c r="AM174" s="66">
        <f t="shared" si="1435"/>
        <v>7.03</v>
      </c>
      <c r="AN174" s="66">
        <f t="shared" si="1435"/>
        <v>2.52</v>
      </c>
      <c r="AO174" s="66">
        <f t="shared" si="1435"/>
        <v>1.2</v>
      </c>
      <c r="AP174" s="66">
        <f t="shared" si="1435"/>
        <v>5.2</v>
      </c>
      <c r="AQ174" s="66">
        <f t="shared" si="1435"/>
        <v>1.7</v>
      </c>
      <c r="AR174" s="66">
        <f t="shared" si="1435"/>
        <v>0</v>
      </c>
      <c r="AS174" s="284">
        <f t="shared" si="1435"/>
        <v>15</v>
      </c>
      <c r="AT174" s="284">
        <f t="shared" si="1435"/>
        <v>60</v>
      </c>
      <c r="AU174" s="284">
        <f t="shared" ref="AU174:AV174" si="1436">AU173</f>
        <v>100</v>
      </c>
      <c r="AV174" s="284">
        <f t="shared" si="1436"/>
        <v>100</v>
      </c>
      <c r="AW174" s="284"/>
      <c r="AX174" s="284">
        <f t="shared" ref="AX174:AX179" si="1437">AX173</f>
        <v>0</v>
      </c>
      <c r="AY174" s="68"/>
      <c r="AZ174" s="68"/>
      <c r="BA174" s="289"/>
      <c r="BB174" s="68"/>
      <c r="BC174" s="179"/>
      <c r="BD174" s="68"/>
      <c r="BE174" s="68"/>
      <c r="BF174" s="67" t="str">
        <f t="shared" ref="BF174:BH174" si="1438" xml:space="preserve"> BF173</f>
        <v>Fast</v>
      </c>
      <c r="BG174" s="295">
        <f t="shared" si="1438"/>
        <v>2</v>
      </c>
      <c r="BH174" s="295">
        <f t="shared" si="1438"/>
        <v>38</v>
      </c>
      <c r="BI174" s="47">
        <f t="shared" si="1370"/>
        <v>0.98634917310716319</v>
      </c>
      <c r="BJ174" s="61">
        <f>BJ173</f>
        <v>0</v>
      </c>
      <c r="BK174" s="61"/>
      <c r="BM174" s="51">
        <f t="shared" ref="BM174:BR179" si="1439">IF(O174=0,0,O174*BM$9)</f>
        <v>0</v>
      </c>
      <c r="BN174" s="51">
        <f t="shared" si="1439"/>
        <v>0</v>
      </c>
      <c r="BO174" s="51">
        <f t="shared" si="1439"/>
        <v>7.5</v>
      </c>
      <c r="BP174" s="51">
        <f t="shared" si="1439"/>
        <v>0</v>
      </c>
      <c r="BQ174" s="51">
        <f t="shared" si="1439"/>
        <v>0</v>
      </c>
      <c r="BR174" s="51">
        <f t="shared" si="1439"/>
        <v>9.1999999999999993</v>
      </c>
      <c r="BS174" s="52">
        <f t="shared" ref="BS174:BS179" si="1440">IF(COUNT(P174:T174)&gt;1,MINA(P174:T174)*BS$9,0)</f>
        <v>-2.25</v>
      </c>
      <c r="BT174" s="88">
        <f t="shared" ref="BT174:CC179" si="1441">IF(U174=0,0,U174*BT$9)</f>
        <v>16.16</v>
      </c>
      <c r="BU174" s="88">
        <f t="shared" si="1441"/>
        <v>0</v>
      </c>
      <c r="BV174" s="88">
        <f t="shared" si="1441"/>
        <v>0</v>
      </c>
      <c r="BW174" s="88">
        <f t="shared" si="1441"/>
        <v>0</v>
      </c>
      <c r="BX174" s="88">
        <f t="shared" si="1441"/>
        <v>2.75</v>
      </c>
      <c r="BY174" s="88">
        <f t="shared" si="1441"/>
        <v>0</v>
      </c>
      <c r="BZ174" s="88">
        <f t="shared" si="1441"/>
        <v>0</v>
      </c>
      <c r="CA174" s="88">
        <f t="shared" si="1441"/>
        <v>0</v>
      </c>
      <c r="CB174" s="88">
        <f t="shared" si="1441"/>
        <v>0</v>
      </c>
      <c r="CC174" s="88">
        <f t="shared" si="1441"/>
        <v>0</v>
      </c>
      <c r="CD174" s="103">
        <f t="shared" ref="CD174:CD179" si="1442">SUM(BM174:CC174)</f>
        <v>33.36</v>
      </c>
      <c r="CE174" s="52"/>
      <c r="CF174" s="107">
        <f t="shared" ref="CF174:CF179" si="1443">J174</f>
        <v>42.4</v>
      </c>
      <c r="CG174" s="104">
        <f t="shared" ref="CG174:CG179" si="1444">CD174/CF174</f>
        <v>0.78679245283018873</v>
      </c>
      <c r="CH174" s="53">
        <f t="shared" ref="CH174:CH179" si="1445">Seilareal/Lwl/Lwl</f>
        <v>0.85793662195548837</v>
      </c>
      <c r="CI174" s="119">
        <f t="shared" ref="CI174:CI179" si="1446">Seilareal/Depl^0.667/K$7</f>
        <v>1.290907093801245</v>
      </c>
      <c r="CJ174" s="53">
        <f t="shared" ref="CJ174:CJ179" si="1447">Seilareal/Lwl/Lwl/SApRS1</f>
        <v>1.3017637700751346</v>
      </c>
      <c r="CK174" s="209"/>
      <c r="CL174" s="209">
        <f t="shared" ref="CL174:CL179" si="1448">(ROUND(TBF/CL$6,3)*CL$6)*CL$4</f>
        <v>83.500000000000014</v>
      </c>
      <c r="CM174" s="110">
        <f t="shared" si="1189"/>
        <v>0.83615034695333834</v>
      </c>
      <c r="CN174" s="64">
        <f>IF(SeilBeregnet=0,"-",(SeilBeregnet)^(1/2)*StHfaktor/(Depl+DeplTillegg/1000+Vann/1000+Diesel/1000*0.84)^(1/3))</f>
        <v>3.2681655893149153</v>
      </c>
      <c r="CO174" s="64">
        <f t="shared" si="1140"/>
        <v>1.7199806200458578</v>
      </c>
      <c r="CP174" s="64">
        <f t="shared" si="1141"/>
        <v>1.6283165284159498</v>
      </c>
      <c r="CQ174" s="110">
        <f t="shared" si="1142"/>
        <v>1.0038592732708853</v>
      </c>
      <c r="CR174" s="172">
        <f t="shared" si="1297"/>
        <v>0.85929411764705887</v>
      </c>
      <c r="CS174" s="163">
        <f>CS173</f>
        <v>0.83</v>
      </c>
      <c r="CT174" s="172">
        <f t="shared" si="1373"/>
        <v>0.84912280701754406</v>
      </c>
      <c r="CU174" s="163">
        <f>CU173</f>
        <v>1.1000000000000001</v>
      </c>
      <c r="CV174" s="195" t="s">
        <v>145</v>
      </c>
      <c r="CW174" s="64">
        <v>0.72</v>
      </c>
      <c r="CX174" s="64">
        <v>0.78</v>
      </c>
      <c r="CY174" s="64">
        <v>0.8</v>
      </c>
      <c r="CZ174" s="154" t="s">
        <v>111</v>
      </c>
      <c r="DA174" s="64">
        <f t="shared" si="1397"/>
        <v>1.9766239122951021</v>
      </c>
      <c r="DB174" s="49">
        <f t="shared" si="1398"/>
        <v>11.374407582938389</v>
      </c>
      <c r="DC174" s="50">
        <f t="shared" si="1399"/>
        <v>0</v>
      </c>
      <c r="DE174" s="110">
        <f>IF(SeilBeregnet=0,"-",DE$7*(DG:DG+DE$6)*DL:DL*PropF+ErfaringsF+Dyp_F)</f>
        <v>0.82767828789661246</v>
      </c>
      <c r="DF174" s="144" t="str">
        <f t="shared" si="1161"/>
        <v>-</v>
      </c>
      <c r="DG174" s="110">
        <f t="shared" si="1400"/>
        <v>5.1023550136339617</v>
      </c>
      <c r="DH174" s="136">
        <f>IF(SeilBeregnet=0,DH173,(SeilBeregnet^0.5/(Depl^0.3333))^DH$3*DH$7)</f>
        <v>3.3340269538599481</v>
      </c>
      <c r="DI174" s="136">
        <f>IF(SeilBeregnet=0,DI173,(SeilBeregnet^0.5/Lwl)^DI$3*DI$7)</f>
        <v>0</v>
      </c>
      <c r="DJ174" s="136">
        <f>IF(SeilBeregnet=0,DJ173,(0.1*Loa/Depl^0.3333)^DJ$3*DJ$7)</f>
        <v>0</v>
      </c>
      <c r="DK174" s="136">
        <f>IF(SeilBeregnet=0,DK173,((Loa)/Bredde)^DK$3*DK$7)</f>
        <v>1.7683280597740134</v>
      </c>
      <c r="DL174" s="110">
        <f>IF(SeilBeregnet=0,DL173,(Lwl)^DL$3)</f>
        <v>1.6283165284159498</v>
      </c>
      <c r="DM174" s="136">
        <f>IF(SeilBeregnet=0,DM173,(Dypg/Loa)^DM$3*5*DM$7)</f>
        <v>1.951180821703814</v>
      </c>
      <c r="DO174" s="110">
        <f t="shared" si="344"/>
        <v>0.85321463974830447</v>
      </c>
      <c r="DP174" s="110">
        <f t="shared" si="1401"/>
        <v>0.84416237078039591</v>
      </c>
      <c r="DR174" s="110">
        <f t="shared" si="1402"/>
        <v>0.85455254754186549</v>
      </c>
      <c r="DS174" s="125" t="str">
        <f t="shared" si="1162"/>
        <v>-</v>
      </c>
      <c r="DT174" s="110">
        <f t="shared" si="1403"/>
        <v>0.84123834247428342</v>
      </c>
      <c r="DU174" s="125" t="str">
        <f t="shared" si="1163"/>
        <v>-</v>
      </c>
      <c r="DV174" s="110">
        <f t="shared" si="214"/>
        <v>3.3338620577689793</v>
      </c>
      <c r="DW174" s="110">
        <f t="shared" si="215"/>
        <v>1.9155355211546612</v>
      </c>
      <c r="DX174" s="110">
        <f t="shared" si="1341"/>
        <v>1.5596217233315703</v>
      </c>
      <c r="DZ174" s="110">
        <f t="shared" si="1404"/>
        <v>0.84684766039377046</v>
      </c>
      <c r="EB174" s="110">
        <f t="shared" si="217"/>
        <v>3.3338620577689793</v>
      </c>
      <c r="EC174" s="110">
        <f t="shared" si="1342"/>
        <v>1.9156475939903101</v>
      </c>
      <c r="ED174" s="110">
        <f t="shared" si="1343"/>
        <v>1.8085615700443574</v>
      </c>
      <c r="EE174" s="110">
        <f t="shared" si="1405"/>
        <v>0.83247061969939129</v>
      </c>
      <c r="EG174" s="110">
        <f t="shared" si="1344"/>
        <v>5.199563687887391</v>
      </c>
      <c r="EH174" s="110">
        <f t="shared" si="219"/>
        <v>3.3338620577689793</v>
      </c>
      <c r="EI174" s="110">
        <f t="shared" si="1345"/>
        <v>1.5596217233315703</v>
      </c>
      <c r="EJ174" s="110">
        <f t="shared" si="1346"/>
        <v>1.6283165284159498</v>
      </c>
      <c r="EK174" s="110">
        <f>IF(SeilBeregnet=0,"-",EK$7*(EK$4*EM:EM+EK$6)*EP:EP*PropF+ErfaringsF+Dyp_F)</f>
        <v>0.83219465992359432</v>
      </c>
      <c r="EM174" s="110">
        <f>IF(SeilBeregnet=0,EM173,(EN:EN*EO:EO)^EM$3)</f>
        <v>1.8226972769675622</v>
      </c>
      <c r="EN174" s="110">
        <f t="shared" si="220"/>
        <v>3.3338620577689793</v>
      </c>
      <c r="EO174" s="110">
        <f t="shared" si="1347"/>
        <v>0.99650954535539471</v>
      </c>
      <c r="EP174" s="110">
        <f t="shared" si="1348"/>
        <v>1.6428858497330714</v>
      </c>
      <c r="EQ174" s="110">
        <f>IF(SeilBeregnet=0,"-",EQ$7*(ES:ES+EQ$6)*EV:EV*PropF+ErfaringsF+Dyp_F)</f>
        <v>0.80824182640487929</v>
      </c>
      <c r="ES174" s="110">
        <f>(ET:ET*EU:EU)^ES$3</f>
        <v>1.8227423526087301</v>
      </c>
      <c r="ET174" s="110">
        <f t="shared" si="221"/>
        <v>3.3340269538599481</v>
      </c>
      <c r="EU174" s="110">
        <f t="shared" si="1349"/>
        <v>0.99650954535539471</v>
      </c>
      <c r="EV174" s="110">
        <f t="shared" si="1350"/>
        <v>1.6428858497330714</v>
      </c>
      <c r="EW174" s="110">
        <f>IF(SeilBeregnet=0,"-",EW$7*(EY:EY+EW$6)*FB:FB*PropF+ErfaringsF+Dyp_F)</f>
        <v>0.82754870068675124</v>
      </c>
      <c r="EX174" s="144" t="str">
        <f t="shared" si="1246"/>
        <v>-</v>
      </c>
      <c r="EY174" s="110">
        <f>(EZ:EZ*FA:FA)^EY$3</f>
        <v>3.310793033489924</v>
      </c>
      <c r="EZ174" s="136">
        <f t="shared" si="1352"/>
        <v>3.3340269538599481</v>
      </c>
      <c r="FA174" s="136">
        <f t="shared" si="1353"/>
        <v>0.99303127398441549</v>
      </c>
      <c r="FB174" s="110">
        <f t="shared" si="1354"/>
        <v>0.92386260587536806</v>
      </c>
      <c r="FC174" s="110">
        <f>IF(SeilBeregnet=0,"-",FC$7*(FE:FE+FC$6)*FI:FI*PropF+ErfaringsF+Dyp_F)</f>
        <v>0.83628905647179863</v>
      </c>
      <c r="FD174" s="144" t="str">
        <f t="shared" si="1247"/>
        <v>-</v>
      </c>
      <c r="FE174" s="110">
        <f>(FF:FF+FG:FG+FH:FH)^FE$3+FE$7</f>
        <v>5.4239498402737141</v>
      </c>
      <c r="FF174" s="136">
        <f t="shared" si="1356"/>
        <v>3.3340269538599481</v>
      </c>
      <c r="FG174" s="136">
        <f t="shared" si="1357"/>
        <v>0.82159482663975258</v>
      </c>
      <c r="FH174" s="136">
        <f t="shared" si="1358"/>
        <v>1.7683280597740134</v>
      </c>
      <c r="FI174" s="110">
        <f t="shared" si="1359"/>
        <v>1.6283165284159498</v>
      </c>
      <c r="FJ174" s="110">
        <f>IF(SeilBeregnet=0,"-",FJ$7*(FL:FL+FJ$6)*FO:FO*PropF+ErfaringsF+Dyp_F)</f>
        <v>0.82645143078475281</v>
      </c>
      <c r="FK174" s="144" t="str">
        <f t="shared" si="1248"/>
        <v>-</v>
      </c>
      <c r="FL174" s="110">
        <f>(FM:FM*FN:FN)^FL$3</f>
        <v>5.8956534145534265</v>
      </c>
      <c r="FM174" s="136">
        <f t="shared" si="1361"/>
        <v>3.3340269538599481</v>
      </c>
      <c r="FN174" s="136">
        <f t="shared" si="1362"/>
        <v>1.7683280597740134</v>
      </c>
      <c r="FO174" s="110">
        <f t="shared" si="1363"/>
        <v>1.6283165284159498</v>
      </c>
      <c r="FQ174">
        <v>0.95</v>
      </c>
      <c r="FR174" s="64">
        <f t="shared" si="1249"/>
        <v>1.0204986153359428</v>
      </c>
      <c r="FS174" s="479"/>
      <c r="FT174" s="18"/>
      <c r="FU174" s="481"/>
      <c r="FV174" s="504"/>
      <c r="FW174" s="18"/>
      <c r="FX174" s="18"/>
      <c r="FY174" s="18"/>
      <c r="FZ174" s="18"/>
      <c r="GB174" s="18"/>
      <c r="GC174" s="481"/>
      <c r="GD174" s="8"/>
      <c r="GE174" s="8"/>
      <c r="GF174" s="8"/>
      <c r="GG174" s="8"/>
      <c r="GI174" s="18"/>
      <c r="GJ174" s="18"/>
      <c r="GK174" s="18"/>
      <c r="GL174" s="18"/>
      <c r="GM174" s="18"/>
      <c r="GN174" s="18"/>
      <c r="GO174" s="18"/>
      <c r="GP174" s="18"/>
    </row>
    <row r="175" spans="1:198" ht="15.6" x14ac:dyDescent="0.3">
      <c r="A175" s="62" t="s">
        <v>32</v>
      </c>
      <c r="B175" s="223"/>
      <c r="C175" s="63" t="str">
        <f t="shared" ref="C175" si="1449">C174</f>
        <v>Gaffel</v>
      </c>
      <c r="D175" s="63"/>
      <c r="E175" s="63"/>
      <c r="F175" s="63"/>
      <c r="G175" s="56"/>
      <c r="H175" s="209">
        <f t="shared" si="1425"/>
        <v>81.5</v>
      </c>
      <c r="I175" s="65">
        <f t="shared" si="1426"/>
        <v>3</v>
      </c>
      <c r="J175" s="228">
        <f t="shared" si="1427"/>
        <v>36.9</v>
      </c>
      <c r="K175" s="119">
        <f t="shared" si="1428"/>
        <v>1.1234545226713664</v>
      </c>
      <c r="L175" s="119">
        <f t="shared" si="1429"/>
        <v>1.1329029036738789</v>
      </c>
      <c r="M175" s="95">
        <f t="shared" si="1430"/>
        <v>0.8295392953929539</v>
      </c>
      <c r="N175" s="265">
        <f t="shared" si="1431"/>
        <v>1.0038592732708853</v>
      </c>
      <c r="O175" s="147"/>
      <c r="P175" s="147"/>
      <c r="Q175" s="169">
        <v>7.5</v>
      </c>
      <c r="R175" s="147"/>
      <c r="S175" s="147"/>
      <c r="T175" s="169">
        <v>9.1999999999999993</v>
      </c>
      <c r="U175" s="169">
        <v>20.2</v>
      </c>
      <c r="V175" s="148"/>
      <c r="W175" s="148"/>
      <c r="X175" s="148"/>
      <c r="Y175" s="147"/>
      <c r="Z175" s="147"/>
      <c r="AA175" s="147"/>
      <c r="AB175" s="147"/>
      <c r="AC175" s="147"/>
      <c r="AD175" s="148"/>
      <c r="AE175" s="260">
        <f t="shared" ref="AE175" si="1450">AE174</f>
        <v>7.25</v>
      </c>
      <c r="AF175" s="375">
        <f t="shared" si="1433"/>
        <v>0</v>
      </c>
      <c r="AG175" s="377"/>
      <c r="AH175" s="375">
        <f t="shared" si="1433"/>
        <v>0</v>
      </c>
      <c r="AI175" s="377"/>
      <c r="AJ175" s="295" t="str">
        <f t="shared" ref="AJ175" si="1451" xml:space="preserve"> AJ174</f>
        <v>Lystb</v>
      </c>
      <c r="AK175" s="47">
        <f>VLOOKUP(AJ175,Skrogform!$1:$1048576,3,FALSE)</f>
        <v>0.98</v>
      </c>
      <c r="AL175" s="66">
        <f t="shared" ref="AL175:AT175" si="1452">AL174</f>
        <v>7.88</v>
      </c>
      <c r="AM175" s="66">
        <f t="shared" si="1452"/>
        <v>7.03</v>
      </c>
      <c r="AN175" s="66">
        <f t="shared" si="1452"/>
        <v>2.52</v>
      </c>
      <c r="AO175" s="66">
        <f t="shared" si="1452"/>
        <v>1.2</v>
      </c>
      <c r="AP175" s="66">
        <f t="shared" si="1452"/>
        <v>5.2</v>
      </c>
      <c r="AQ175" s="66">
        <f t="shared" si="1452"/>
        <v>1.7</v>
      </c>
      <c r="AR175" s="66">
        <f t="shared" si="1452"/>
        <v>0</v>
      </c>
      <c r="AS175" s="284">
        <f t="shared" si="1452"/>
        <v>15</v>
      </c>
      <c r="AT175" s="284">
        <f t="shared" si="1452"/>
        <v>60</v>
      </c>
      <c r="AU175" s="284">
        <f t="shared" ref="AU175:AV175" si="1453">AU174</f>
        <v>100</v>
      </c>
      <c r="AV175" s="284">
        <f t="shared" si="1453"/>
        <v>100</v>
      </c>
      <c r="AW175" s="284"/>
      <c r="AX175" s="284">
        <f t="shared" si="1437"/>
        <v>0</v>
      </c>
      <c r="AY175" s="68"/>
      <c r="AZ175" s="68"/>
      <c r="BA175" s="289"/>
      <c r="BB175" s="68"/>
      <c r="BC175" s="179"/>
      <c r="BD175" s="68"/>
      <c r="BE175" s="68"/>
      <c r="BF175" s="67" t="str">
        <f t="shared" ref="BF175:BH175" si="1454" xml:space="preserve"> BF174</f>
        <v>Fast</v>
      </c>
      <c r="BG175" s="295">
        <f t="shared" si="1454"/>
        <v>2</v>
      </c>
      <c r="BH175" s="295">
        <f t="shared" si="1454"/>
        <v>38</v>
      </c>
      <c r="BI175" s="47">
        <f t="shared" si="1370"/>
        <v>0.98634917310716319</v>
      </c>
      <c r="BJ175" s="61">
        <f t="shared" ref="BJ175:BJ179" si="1455">BJ174</f>
        <v>0</v>
      </c>
      <c r="BK175" s="61"/>
      <c r="BM175" s="51">
        <f t="shared" si="1439"/>
        <v>0</v>
      </c>
      <c r="BN175" s="51">
        <f t="shared" si="1439"/>
        <v>0</v>
      </c>
      <c r="BO175" s="51">
        <f t="shared" si="1439"/>
        <v>7.5</v>
      </c>
      <c r="BP175" s="51">
        <f t="shared" si="1439"/>
        <v>0</v>
      </c>
      <c r="BQ175" s="51">
        <f t="shared" si="1439"/>
        <v>0</v>
      </c>
      <c r="BR175" s="51">
        <f t="shared" si="1439"/>
        <v>9.1999999999999993</v>
      </c>
      <c r="BS175" s="52">
        <f t="shared" si="1440"/>
        <v>-2.25</v>
      </c>
      <c r="BT175" s="88">
        <f t="shared" si="1441"/>
        <v>16.16</v>
      </c>
      <c r="BU175" s="88">
        <f t="shared" si="1441"/>
        <v>0</v>
      </c>
      <c r="BV175" s="88">
        <f t="shared" si="1441"/>
        <v>0</v>
      </c>
      <c r="BW175" s="88">
        <f t="shared" si="1441"/>
        <v>0</v>
      </c>
      <c r="BX175" s="88">
        <f t="shared" si="1441"/>
        <v>0</v>
      </c>
      <c r="BY175" s="88">
        <f t="shared" si="1441"/>
        <v>0</v>
      </c>
      <c r="BZ175" s="88">
        <f t="shared" si="1441"/>
        <v>0</v>
      </c>
      <c r="CA175" s="88">
        <f t="shared" si="1441"/>
        <v>0</v>
      </c>
      <c r="CB175" s="88">
        <f t="shared" si="1441"/>
        <v>0</v>
      </c>
      <c r="CC175" s="88">
        <f t="shared" si="1441"/>
        <v>0</v>
      </c>
      <c r="CD175" s="103">
        <f t="shared" si="1442"/>
        <v>30.61</v>
      </c>
      <c r="CE175" s="52"/>
      <c r="CF175" s="107">
        <f t="shared" si="1443"/>
        <v>36.9</v>
      </c>
      <c r="CG175" s="104">
        <f t="shared" si="1444"/>
        <v>0.8295392953929539</v>
      </c>
      <c r="CH175" s="53">
        <f t="shared" si="1445"/>
        <v>0.74664767335277171</v>
      </c>
      <c r="CI175" s="119">
        <f t="shared" si="1446"/>
        <v>1.1234545226713664</v>
      </c>
      <c r="CJ175" s="53">
        <f t="shared" si="1447"/>
        <v>1.1329029036738789</v>
      </c>
      <c r="CK175" s="209"/>
      <c r="CL175" s="209">
        <f t="shared" si="1448"/>
        <v>81.5</v>
      </c>
      <c r="CM175" s="110">
        <f t="shared" si="1189"/>
        <v>0.81308467313025512</v>
      </c>
      <c r="CN175" s="64">
        <f>IF(SeilBeregnet=0,"-",(SeilBeregnet)^(1/2)*StHfaktor/(Depl+DeplTillegg/1000+Vann/1000+Diesel/1000*0.84)^(1/3))</f>
        <v>3.1305647931588316</v>
      </c>
      <c r="CO175" s="64">
        <f t="shared" si="1140"/>
        <v>1.7199806200458578</v>
      </c>
      <c r="CP175" s="64">
        <f t="shared" si="1141"/>
        <v>1.6283165284159498</v>
      </c>
      <c r="CQ175" s="110">
        <f t="shared" si="1142"/>
        <v>1.0038592732708853</v>
      </c>
      <c r="CR175" s="172" t="str">
        <f t="shared" si="1297"/>
        <v>-</v>
      </c>
      <c r="CS175" s="162"/>
      <c r="CT175" s="172" t="str">
        <f t="shared" si="1373"/>
        <v>-</v>
      </c>
      <c r="CU175" s="164"/>
      <c r="CV175" s="195" t="s">
        <v>145</v>
      </c>
      <c r="CW175" s="64">
        <v>0.7</v>
      </c>
      <c r="CX175" s="64">
        <v>0.76</v>
      </c>
      <c r="CY175" s="64">
        <v>0.78</v>
      </c>
      <c r="CZ175" s="154" t="s">
        <v>111</v>
      </c>
      <c r="DA175" s="64">
        <f t="shared" si="1397"/>
        <v>1.9766239122951021</v>
      </c>
      <c r="DB175" s="49">
        <f t="shared" si="1398"/>
        <v>11.374407582938389</v>
      </c>
      <c r="DC175" s="50">
        <f t="shared" si="1399"/>
        <v>0</v>
      </c>
      <c r="DE175" s="110">
        <f>IF(SeilBeregnet=0,"-",DE$7*(DG:DG+DE$6)*DL:DL*PropF+ErfaringsF+Dyp_F)</f>
        <v>0.80490756123036011</v>
      </c>
      <c r="DF175" s="144" t="str">
        <f t="shared" si="1161"/>
        <v>-</v>
      </c>
      <c r="DG175" s="110">
        <f t="shared" si="1400"/>
        <v>4.9619812318534793</v>
      </c>
      <c r="DH175" s="136">
        <f>IF(SeilBeregnet=0,DH174,(SeilBeregnet^0.5/(Depl^0.3333))^DH$3*DH$7)</f>
        <v>3.1936531720794661</v>
      </c>
      <c r="DI175" s="136">
        <f>IF(SeilBeregnet=0,DI174,(SeilBeregnet^0.5/Lwl)^DI$3*DI$7)</f>
        <v>0</v>
      </c>
      <c r="DJ175" s="136">
        <f>IF(SeilBeregnet=0,DJ174,(0.1*Loa/Depl^0.3333)^DJ$3*DJ$7)</f>
        <v>0</v>
      </c>
      <c r="DK175" s="136">
        <f>IF(SeilBeregnet=0,DK174,((Loa)/Bredde)^DK$3*DK$7)</f>
        <v>1.7683280597740134</v>
      </c>
      <c r="DL175" s="110">
        <f>IF(SeilBeregnet=0,DL174,(Lwl)^DL$3)</f>
        <v>1.6283165284159498</v>
      </c>
      <c r="DM175" s="136">
        <f>IF(SeilBeregnet=0,DM174,(Dypg/Loa)^DM$3*5*DM$7)</f>
        <v>1.951180821703814</v>
      </c>
      <c r="DO175" s="110">
        <f t="shared" si="344"/>
        <v>0.82967823788801554</v>
      </c>
      <c r="DP175" s="110">
        <f t="shared" si="1401"/>
        <v>0.81692777435976727</v>
      </c>
      <c r="DR175" s="110">
        <f t="shared" si="1402"/>
        <v>0.83271666878748551</v>
      </c>
      <c r="DS175" s="125" t="str">
        <f t="shared" si="1162"/>
        <v>-</v>
      </c>
      <c r="DT175" s="110">
        <f t="shared" si="1403"/>
        <v>0.8153179117686522</v>
      </c>
      <c r="DU175" s="125" t="str">
        <f t="shared" si="1163"/>
        <v>-</v>
      </c>
      <c r="DV175" s="110">
        <f t="shared" si="214"/>
        <v>3.1934952186701886</v>
      </c>
      <c r="DW175" s="110">
        <f t="shared" si="215"/>
        <v>1.9155355211546612</v>
      </c>
      <c r="DX175" s="110">
        <f t="shared" si="1341"/>
        <v>1.5596217233315703</v>
      </c>
      <c r="DZ175" s="110">
        <f t="shared" si="1404"/>
        <v>0.82349254396586724</v>
      </c>
      <c r="EB175" s="110">
        <f t="shared" si="217"/>
        <v>3.1934952186701886</v>
      </c>
      <c r="EC175" s="110">
        <f t="shared" si="1342"/>
        <v>1.9156475939903101</v>
      </c>
      <c r="ED175" s="110">
        <f t="shared" si="1343"/>
        <v>1.8085615700443574</v>
      </c>
      <c r="EE175" s="110">
        <f t="shared" si="1405"/>
        <v>0.80715744986603311</v>
      </c>
      <c r="EG175" s="110">
        <f t="shared" si="1344"/>
        <v>4.9806445163935296</v>
      </c>
      <c r="EH175" s="110">
        <f t="shared" si="219"/>
        <v>3.1934952186701886</v>
      </c>
      <c r="EI175" s="110">
        <f t="shared" si="1345"/>
        <v>1.5596217233315703</v>
      </c>
      <c r="EJ175" s="110">
        <f t="shared" si="1346"/>
        <v>1.6283165284159498</v>
      </c>
      <c r="EK175" s="110">
        <f>IF(SeilBeregnet=0,"-",EK$7*(EK$4*EM:EM+EK$6)*EP:EP*PropF+ErfaringsF+Dyp_F)</f>
        <v>0.80779346267967267</v>
      </c>
      <c r="EM175" s="110">
        <f>IF(SeilBeregnet=0,EM174,(EN:EN*EO:EO)^EM$3)</f>
        <v>1.7839138063403333</v>
      </c>
      <c r="EN175" s="110">
        <f t="shared" si="220"/>
        <v>3.1934952186701886</v>
      </c>
      <c r="EO175" s="110">
        <f t="shared" si="1347"/>
        <v>0.99650954535539471</v>
      </c>
      <c r="EP175" s="110">
        <f t="shared" si="1348"/>
        <v>1.6428858497330714</v>
      </c>
      <c r="EQ175" s="110">
        <f>IF(SeilBeregnet=0,"-",EQ$7*(ES:ES+EQ$6)*EV:EV*PropF+ErfaringsF+Dyp_F)</f>
        <v>0.79104400451191925</v>
      </c>
      <c r="ES175" s="110">
        <f>(ET:ET*EU:EU)^ES$3</f>
        <v>1.7839579228590912</v>
      </c>
      <c r="ET175" s="110">
        <f t="shared" si="221"/>
        <v>3.1936531720794661</v>
      </c>
      <c r="EU175" s="110">
        <f t="shared" si="1349"/>
        <v>0.99650954535539471</v>
      </c>
      <c r="EV175" s="110">
        <f t="shared" si="1350"/>
        <v>1.6428858497330714</v>
      </c>
      <c r="EW175" s="110">
        <f>IF(SeilBeregnet=0,"-",EW$7*(EY:EY+EW$6)*FB:FB*PropF+ErfaringsF+Dyp_F)</f>
        <v>0.8058275358835858</v>
      </c>
      <c r="EX175" s="144" t="str">
        <f t="shared" si="1246"/>
        <v>-</v>
      </c>
      <c r="EY175" s="110">
        <f>(EZ:EZ*FA:FA)^EY$3</f>
        <v>3.1713974781344421</v>
      </c>
      <c r="EZ175" s="136">
        <f t="shared" si="1352"/>
        <v>3.1936531720794661</v>
      </c>
      <c r="FA175" s="136">
        <f t="shared" si="1353"/>
        <v>0.99303127398441549</v>
      </c>
      <c r="FB175" s="110">
        <f t="shared" si="1354"/>
        <v>0.92386260587536806</v>
      </c>
      <c r="FC175" s="110">
        <f>IF(SeilBeregnet=0,"-",FC$7*(FE:FE+FC$6)*FI:FI*PropF+ErfaringsF+Dyp_F)</f>
        <v>0.80931205617519353</v>
      </c>
      <c r="FD175" s="144" t="str">
        <f t="shared" si="1247"/>
        <v>-</v>
      </c>
      <c r="FE175" s="110">
        <f>(FF:FF+FG:FG+FH:FH)^FE$3+FE$7</f>
        <v>5.2489841447196559</v>
      </c>
      <c r="FF175" s="136">
        <f t="shared" si="1356"/>
        <v>3.1936531720794661</v>
      </c>
      <c r="FG175" s="136">
        <f t="shared" si="1357"/>
        <v>0.78700291286617663</v>
      </c>
      <c r="FH175" s="136">
        <f t="shared" si="1358"/>
        <v>1.7683280597740134</v>
      </c>
      <c r="FI175" s="110">
        <f t="shared" si="1359"/>
        <v>1.6283165284159498</v>
      </c>
      <c r="FJ175" s="110">
        <f>IF(SeilBeregnet=0,"-",FJ$7*(FL:FL+FJ$6)*FO:FO*PropF+ErfaringsF+Dyp_F)</f>
        <v>0.80572036172455797</v>
      </c>
      <c r="FK175" s="144" t="str">
        <f t="shared" si="1248"/>
        <v>-</v>
      </c>
      <c r="FL175" s="110">
        <f>(FM:FM*FN:FN)^FL$3</f>
        <v>5.6474265173744058</v>
      </c>
      <c r="FM175" s="136">
        <f t="shared" si="1361"/>
        <v>3.1936531720794661</v>
      </c>
      <c r="FN175" s="136">
        <f t="shared" si="1362"/>
        <v>1.7683280597740134</v>
      </c>
      <c r="FO175" s="110">
        <f t="shared" si="1363"/>
        <v>1.6283165284159498</v>
      </c>
      <c r="FQ175">
        <v>0.95</v>
      </c>
      <c r="FR175" s="64">
        <f t="shared" si="1249"/>
        <v>1.0001900634319381</v>
      </c>
      <c r="FS175" s="479"/>
      <c r="FT175" s="18"/>
      <c r="FU175" s="481"/>
      <c r="FV175" s="504"/>
      <c r="FW175" s="18"/>
      <c r="FX175" s="18"/>
      <c r="FY175" s="18"/>
      <c r="FZ175" s="18"/>
      <c r="GB175" s="18"/>
      <c r="GC175" s="481"/>
      <c r="GD175" s="8"/>
      <c r="GE175" s="8"/>
      <c r="GF175" s="8"/>
      <c r="GG175" s="8"/>
      <c r="GI175" s="18"/>
      <c r="GJ175" s="18"/>
      <c r="GK175" s="18"/>
      <c r="GL175" s="18"/>
      <c r="GM175" s="18"/>
      <c r="GN175" s="18"/>
      <c r="GO175" s="18"/>
      <c r="GP175" s="18"/>
    </row>
    <row r="176" spans="1:198" ht="15.6" x14ac:dyDescent="0.3">
      <c r="A176" s="62" t="s">
        <v>33</v>
      </c>
      <c r="B176" s="223"/>
      <c r="C176" s="63" t="str">
        <f>C174</f>
        <v>Gaffel</v>
      </c>
      <c r="D176" s="63"/>
      <c r="E176" s="63"/>
      <c r="F176" s="63"/>
      <c r="G176" s="56"/>
      <c r="H176" s="209">
        <f t="shared" si="1425"/>
        <v>79.5</v>
      </c>
      <c r="I176" s="65">
        <f t="shared" si="1426"/>
        <v>3</v>
      </c>
      <c r="J176" s="228">
        <f t="shared" si="1427"/>
        <v>33.9</v>
      </c>
      <c r="K176" s="119">
        <f t="shared" si="1428"/>
        <v>1.0321167566005236</v>
      </c>
      <c r="L176" s="119">
        <f t="shared" si="1429"/>
        <v>1.0407969765459213</v>
      </c>
      <c r="M176" s="95">
        <f t="shared" si="1430"/>
        <v>0.84100294985250734</v>
      </c>
      <c r="N176" s="265">
        <f t="shared" si="1431"/>
        <v>1.0038592732708853</v>
      </c>
      <c r="O176" s="147"/>
      <c r="P176" s="147"/>
      <c r="Q176" s="147"/>
      <c r="R176" s="169">
        <v>4.5</v>
      </c>
      <c r="S176" s="147"/>
      <c r="T176" s="169">
        <v>9.1999999999999993</v>
      </c>
      <c r="U176" s="169">
        <v>20.2</v>
      </c>
      <c r="V176" s="148"/>
      <c r="W176" s="148"/>
      <c r="X176" s="148"/>
      <c r="Y176" s="147"/>
      <c r="Z176" s="147"/>
      <c r="AA176" s="147"/>
      <c r="AB176" s="147"/>
      <c r="AC176" s="147"/>
      <c r="AD176" s="148"/>
      <c r="AE176" s="260">
        <f t="shared" ref="AE176" si="1456">AE175</f>
        <v>7.25</v>
      </c>
      <c r="AF176" s="375">
        <f t="shared" si="1433"/>
        <v>0</v>
      </c>
      <c r="AG176" s="377"/>
      <c r="AH176" s="375">
        <f t="shared" si="1433"/>
        <v>0</v>
      </c>
      <c r="AI176" s="377"/>
      <c r="AJ176" s="295" t="str">
        <f t="shared" ref="AJ176" si="1457" xml:space="preserve"> AJ175</f>
        <v>Lystb</v>
      </c>
      <c r="AK176" s="47">
        <f>VLOOKUP(AJ176,Skrogform!$1:$1048576,3,FALSE)</f>
        <v>0.98</v>
      </c>
      <c r="AL176" s="66">
        <f t="shared" ref="AL176:AT176" si="1458">AL175</f>
        <v>7.88</v>
      </c>
      <c r="AM176" s="66">
        <f t="shared" si="1458"/>
        <v>7.03</v>
      </c>
      <c r="AN176" s="66">
        <f t="shared" si="1458"/>
        <v>2.52</v>
      </c>
      <c r="AO176" s="66">
        <f t="shared" si="1458"/>
        <v>1.2</v>
      </c>
      <c r="AP176" s="66">
        <f t="shared" si="1458"/>
        <v>5.2</v>
      </c>
      <c r="AQ176" s="66">
        <f t="shared" si="1458"/>
        <v>1.7</v>
      </c>
      <c r="AR176" s="66">
        <f t="shared" si="1458"/>
        <v>0</v>
      </c>
      <c r="AS176" s="284">
        <f t="shared" si="1458"/>
        <v>15</v>
      </c>
      <c r="AT176" s="284">
        <f t="shared" si="1458"/>
        <v>60</v>
      </c>
      <c r="AU176" s="284">
        <f t="shared" ref="AU176:AV176" si="1459">AU175</f>
        <v>100</v>
      </c>
      <c r="AV176" s="284">
        <f t="shared" si="1459"/>
        <v>100</v>
      </c>
      <c r="AW176" s="284"/>
      <c r="AX176" s="284">
        <f t="shared" si="1437"/>
        <v>0</v>
      </c>
      <c r="AY176" s="68"/>
      <c r="AZ176" s="68"/>
      <c r="BA176" s="289"/>
      <c r="BB176" s="68"/>
      <c r="BC176" s="179"/>
      <c r="BD176" s="68"/>
      <c r="BE176" s="68"/>
      <c r="BF176" s="67" t="str">
        <f t="shared" ref="BF176:BH176" si="1460" xml:space="preserve"> BF175</f>
        <v>Fast</v>
      </c>
      <c r="BG176" s="295">
        <f t="shared" si="1460"/>
        <v>2</v>
      </c>
      <c r="BH176" s="295">
        <f t="shared" si="1460"/>
        <v>38</v>
      </c>
      <c r="BI176" s="47">
        <f t="shared" si="1370"/>
        <v>0.98634917310716319</v>
      </c>
      <c r="BJ176" s="61">
        <f t="shared" si="1455"/>
        <v>0</v>
      </c>
      <c r="BK176" s="61"/>
      <c r="BM176" s="51">
        <f t="shared" si="1439"/>
        <v>0</v>
      </c>
      <c r="BN176" s="51">
        <f t="shared" si="1439"/>
        <v>0</v>
      </c>
      <c r="BO176" s="51">
        <f t="shared" si="1439"/>
        <v>0</v>
      </c>
      <c r="BP176" s="51">
        <f t="shared" si="1439"/>
        <v>4.5</v>
      </c>
      <c r="BQ176" s="51">
        <f t="shared" si="1439"/>
        <v>0</v>
      </c>
      <c r="BR176" s="51">
        <f t="shared" si="1439"/>
        <v>9.1999999999999993</v>
      </c>
      <c r="BS176" s="52">
        <f t="shared" si="1440"/>
        <v>-1.3499999999999999</v>
      </c>
      <c r="BT176" s="88">
        <f t="shared" si="1441"/>
        <v>16.16</v>
      </c>
      <c r="BU176" s="88">
        <f t="shared" si="1441"/>
        <v>0</v>
      </c>
      <c r="BV176" s="88">
        <f t="shared" si="1441"/>
        <v>0</v>
      </c>
      <c r="BW176" s="88">
        <f t="shared" si="1441"/>
        <v>0</v>
      </c>
      <c r="BX176" s="88">
        <f t="shared" si="1441"/>
        <v>0</v>
      </c>
      <c r="BY176" s="88">
        <f t="shared" si="1441"/>
        <v>0</v>
      </c>
      <c r="BZ176" s="88">
        <f t="shared" si="1441"/>
        <v>0</v>
      </c>
      <c r="CA176" s="88">
        <f t="shared" si="1441"/>
        <v>0</v>
      </c>
      <c r="CB176" s="88">
        <f t="shared" si="1441"/>
        <v>0</v>
      </c>
      <c r="CC176" s="88">
        <f t="shared" si="1441"/>
        <v>0</v>
      </c>
      <c r="CD176" s="103">
        <f t="shared" si="1442"/>
        <v>28.509999999999998</v>
      </c>
      <c r="CE176" s="52"/>
      <c r="CF176" s="107">
        <f t="shared" si="1443"/>
        <v>33.9</v>
      </c>
      <c r="CG176" s="104">
        <f t="shared" si="1444"/>
        <v>0.84100294985250734</v>
      </c>
      <c r="CH176" s="53">
        <f t="shared" si="1445"/>
        <v>0.68594461047856259</v>
      </c>
      <c r="CI176" s="119">
        <f t="shared" si="1446"/>
        <v>1.0321167566005236</v>
      </c>
      <c r="CJ176" s="53">
        <f t="shared" si="1447"/>
        <v>1.0407969765459213</v>
      </c>
      <c r="CK176" s="209"/>
      <c r="CL176" s="209">
        <f t="shared" si="1448"/>
        <v>79.5</v>
      </c>
      <c r="CM176" s="110">
        <f t="shared" si="1189"/>
        <v>0.79476398237876833</v>
      </c>
      <c r="CN176" s="64">
        <f>IF(SeilBeregnet=0,"-",(SeilBeregnet)^(1/2)*StHfaktor/(Depl+DeplTillegg/1000+Vann/1000+Diesel/1000*0.84)^(1/3))</f>
        <v>3.0212707117081905</v>
      </c>
      <c r="CO176" s="64">
        <f t="shared" si="1140"/>
        <v>1.7199806200458578</v>
      </c>
      <c r="CP176" s="64">
        <f t="shared" si="1141"/>
        <v>1.6283165284159498</v>
      </c>
      <c r="CQ176" s="110">
        <f t="shared" si="1142"/>
        <v>1.0038592732708853</v>
      </c>
      <c r="CR176" s="172" t="str">
        <f t="shared" si="1297"/>
        <v>-</v>
      </c>
      <c r="CS176" s="162"/>
      <c r="CT176" s="172" t="str">
        <f t="shared" si="1373"/>
        <v>-</v>
      </c>
      <c r="CU176" s="164"/>
      <c r="CV176" s="195" t="s">
        <v>145</v>
      </c>
      <c r="CW176" s="64">
        <v>0.65</v>
      </c>
      <c r="CX176" s="64">
        <v>0.73</v>
      </c>
      <c r="CY176" s="64">
        <v>0.73</v>
      </c>
      <c r="CZ176" s="154" t="s">
        <v>111</v>
      </c>
      <c r="DA176" s="64">
        <f t="shared" si="1397"/>
        <v>1.9766239122951021</v>
      </c>
      <c r="DB176" s="49">
        <f t="shared" si="1398"/>
        <v>11.374407582938389</v>
      </c>
      <c r="DC176" s="50">
        <f t="shared" si="1399"/>
        <v>0</v>
      </c>
      <c r="DE176" s="110">
        <f>IF(SeilBeregnet=0,"-",DE$7*(DG:DG+DE$6)*DL:DL*PropF+ErfaringsF+Dyp_F)</f>
        <v>0.78682114222353483</v>
      </c>
      <c r="DF176" s="144" t="str">
        <f t="shared" ref="DF176:DF178" si="1461">IF($DQ176=0,"-",(DE176-$DO176)*100)</f>
        <v>-</v>
      </c>
      <c r="DG176" s="110">
        <f t="shared" si="1400"/>
        <v>4.850484612880086</v>
      </c>
      <c r="DH176" s="136">
        <f>IF(SeilBeregnet=0,DH174,(SeilBeregnet^0.5/(Depl^0.3333))^DH$3*DH$7)</f>
        <v>3.0821565531060728</v>
      </c>
      <c r="DI176" s="136">
        <f>IF(SeilBeregnet=0,DI174,(SeilBeregnet^0.5/Lwl)^DI$3*DI$7)</f>
        <v>0</v>
      </c>
      <c r="DJ176" s="136">
        <f>IF(SeilBeregnet=0,DJ174,(0.1*Loa/Depl^0.3333)^DJ$3*DJ$7)</f>
        <v>0</v>
      </c>
      <c r="DK176" s="136">
        <f>IF(SeilBeregnet=0,DK174,((Loa)/Bredde)^DK$3*DK$7)</f>
        <v>1.7683280597740134</v>
      </c>
      <c r="DL176" s="110">
        <f>IF(SeilBeregnet=0,DL174,(Lwl)^DL$3)</f>
        <v>1.6283165284159498</v>
      </c>
      <c r="DM176" s="136">
        <f>IF(SeilBeregnet=0,DM174,(Dypg/Loa)^DM$3*5*DM$7)</f>
        <v>1.951180821703814</v>
      </c>
      <c r="DO176" s="110">
        <f t="shared" si="344"/>
        <v>0.81098365548853912</v>
      </c>
      <c r="DP176" s="110">
        <f t="shared" si="1401"/>
        <v>0.79529577598022927</v>
      </c>
      <c r="DR176" s="110">
        <f t="shared" si="1402"/>
        <v>0.81537278432027338</v>
      </c>
      <c r="DS176" s="125" t="str">
        <f t="shared" ref="DS176:DS178" si="1462">IF($DQ176=0,"-",DR176-$DO176)</f>
        <v>-</v>
      </c>
      <c r="DT176" s="110">
        <f t="shared" si="1403"/>
        <v>0.79472973390983026</v>
      </c>
      <c r="DU176" s="125" t="str">
        <f t="shared" ref="DU176:DU178" si="1463">IF($DQ176=0,"-",DT176-$DO176)</f>
        <v>-</v>
      </c>
      <c r="DV176" s="110">
        <f t="shared" si="214"/>
        <v>3.0820041141562999</v>
      </c>
      <c r="DW176" s="110">
        <f t="shared" si="215"/>
        <v>1.9155355211546612</v>
      </c>
      <c r="DX176" s="110">
        <f t="shared" si="1341"/>
        <v>1.5596217233315703</v>
      </c>
      <c r="DZ176" s="110">
        <f t="shared" si="1404"/>
        <v>0.8049419536461353</v>
      </c>
      <c r="EB176" s="110">
        <f t="shared" si="217"/>
        <v>3.0820041141562999</v>
      </c>
      <c r="EC176" s="110">
        <f t="shared" si="1342"/>
        <v>1.9156475939903101</v>
      </c>
      <c r="ED176" s="110">
        <f t="shared" si="1343"/>
        <v>1.8085615700443574</v>
      </c>
      <c r="EE176" s="110">
        <f t="shared" si="1405"/>
        <v>0.78705160947247343</v>
      </c>
      <c r="EG176" s="110">
        <f t="shared" si="1344"/>
        <v>4.8067605678354379</v>
      </c>
      <c r="EH176" s="110">
        <f t="shared" si="219"/>
        <v>3.0820041141562999</v>
      </c>
      <c r="EI176" s="110">
        <f t="shared" si="1345"/>
        <v>1.5596217233315703</v>
      </c>
      <c r="EJ176" s="110">
        <f t="shared" si="1346"/>
        <v>1.6283165284159498</v>
      </c>
      <c r="EK176" s="110">
        <f>IF(SeilBeregnet=0,"-",EK$7*(EK$4*EM:EM+EK$6)*EP:EP*PropF+ErfaringsF+Dyp_F)</f>
        <v>0.7880272524673344</v>
      </c>
      <c r="EM176" s="110">
        <f>IF(SeilBeregnet=0,EM175,(EN:EN*EO:EO)^EM$3)</f>
        <v>1.7524972235588137</v>
      </c>
      <c r="EN176" s="110">
        <f t="shared" si="220"/>
        <v>3.0820041141562999</v>
      </c>
      <c r="EO176" s="110">
        <f t="shared" si="1347"/>
        <v>0.99650954535539471</v>
      </c>
      <c r="EP176" s="110">
        <f t="shared" si="1348"/>
        <v>1.6428858497330714</v>
      </c>
      <c r="EQ176" s="110">
        <f>IF(SeilBeregnet=0,"-",EQ$7*(ES:ES+EQ$6)*EV:EV*PropF+ErfaringsF+Dyp_F)</f>
        <v>0.77711289452036814</v>
      </c>
      <c r="ES176" s="110">
        <f>(ET:ET*EU:EU)^ES$3</f>
        <v>1.7525405631396618</v>
      </c>
      <c r="ET176" s="110">
        <f t="shared" si="221"/>
        <v>3.0821565531060728</v>
      </c>
      <c r="EU176" s="110">
        <f t="shared" si="1349"/>
        <v>0.99650954535539471</v>
      </c>
      <c r="EV176" s="110">
        <f t="shared" si="1350"/>
        <v>1.6428858497330714</v>
      </c>
      <c r="EW176" s="110">
        <f>IF(SeilBeregnet=0,"-",EW$7*(EY:EY+EW$6)*FB:FB*PropF+ErfaringsF+Dyp_F)</f>
        <v>0.78857476684795413</v>
      </c>
      <c r="EX176" s="144" t="str">
        <f t="shared" ref="EX176:EX178" si="1464">IF($DQ176=0,"-",(EW176-$DO176)*100)</f>
        <v>-</v>
      </c>
      <c r="EY176" s="110">
        <f>(EZ:EZ*FA:FA)^EY$3</f>
        <v>3.0606778485503381</v>
      </c>
      <c r="EZ176" s="136">
        <f t="shared" si="1352"/>
        <v>3.0821565531060728</v>
      </c>
      <c r="FA176" s="136">
        <f t="shared" si="1353"/>
        <v>0.99303127398441549</v>
      </c>
      <c r="FB176" s="110">
        <f t="shared" si="1354"/>
        <v>0.92386260587536806</v>
      </c>
      <c r="FC176" s="110">
        <f>IF(SeilBeregnet=0,"-",FC$7*(FE:FE+FC$6)*FI:FI*PropF+ErfaringsF+Dyp_F)</f>
        <v>0.78788466222053488</v>
      </c>
      <c r="FD176" s="144" t="str">
        <f t="shared" ref="FD176:FD178" si="1465">IF($DQ176=0,"-",(FC176-$DO176)*100)</f>
        <v>-</v>
      </c>
      <c r="FE176" s="110">
        <f>(FF:FF+FG:FG+FH:FH)^FE$3+FE$7</f>
        <v>5.110011729478237</v>
      </c>
      <c r="FF176" s="136">
        <f t="shared" si="1356"/>
        <v>3.0821565531060728</v>
      </c>
      <c r="FG176" s="136">
        <f t="shared" si="1357"/>
        <v>0.75952711659815042</v>
      </c>
      <c r="FH176" s="136">
        <f t="shared" si="1358"/>
        <v>1.7683280597740134</v>
      </c>
      <c r="FI176" s="110">
        <f t="shared" si="1359"/>
        <v>1.6283165284159498</v>
      </c>
      <c r="FJ176" s="110">
        <f>IF(SeilBeregnet=0,"-",FJ$7*(FL:FL+FJ$6)*FO:FO*PropF+ErfaringsF+Dyp_F)</f>
        <v>0.78925400968504167</v>
      </c>
      <c r="FK176" s="144" t="str">
        <f t="shared" ref="FK176:FK178" si="1466">IF($DQ176=0,"-",(FJ176-$DO176)*100)</f>
        <v>-</v>
      </c>
      <c r="FL176" s="110">
        <f>(FM:FM*FN:FN)^FL$3</f>
        <v>5.4502639174738228</v>
      </c>
      <c r="FM176" s="136">
        <f t="shared" si="1361"/>
        <v>3.0821565531060728</v>
      </c>
      <c r="FN176" s="136">
        <f t="shared" si="1362"/>
        <v>1.7683280597740134</v>
      </c>
      <c r="FO176" s="110">
        <f t="shared" si="1363"/>
        <v>1.6283165284159498</v>
      </c>
      <c r="FQ176">
        <v>0.95</v>
      </c>
      <c r="FR176" s="64">
        <f t="shared" si="1249"/>
        <v>0.98405930991926871</v>
      </c>
      <c r="FS176" s="479"/>
      <c r="FT176" s="18"/>
      <c r="FU176" s="481"/>
      <c r="FV176" s="504"/>
      <c r="FW176" s="18"/>
      <c r="FX176" s="18"/>
      <c r="FY176" s="18"/>
      <c r="FZ176" s="18"/>
      <c r="GB176" s="18"/>
      <c r="GC176" s="481"/>
      <c r="GD176" s="8"/>
      <c r="GE176" s="8"/>
      <c r="GF176" s="8"/>
      <c r="GG176" s="8"/>
      <c r="GI176" s="18"/>
      <c r="GJ176" s="18"/>
      <c r="GK176" s="18"/>
      <c r="GL176" s="18"/>
      <c r="GM176" s="18"/>
      <c r="GN176" s="18"/>
      <c r="GO176" s="18"/>
      <c r="GP176" s="18"/>
    </row>
    <row r="177" spans="1:198" ht="15.6" x14ac:dyDescent="0.3">
      <c r="A177" s="62" t="s">
        <v>37</v>
      </c>
      <c r="B177" s="223"/>
      <c r="C177" s="63" t="str">
        <f>C174</f>
        <v>Gaffel</v>
      </c>
      <c r="D177" s="63"/>
      <c r="E177" s="63"/>
      <c r="F177" s="63"/>
      <c r="G177" s="56"/>
      <c r="H177" s="209">
        <f t="shared" si="1425"/>
        <v>76.5</v>
      </c>
      <c r="I177" s="65">
        <f t="shared" si="1426"/>
        <v>3</v>
      </c>
      <c r="J177" s="228">
        <f t="shared" si="1427"/>
        <v>30.7</v>
      </c>
      <c r="K177" s="119">
        <f t="shared" si="1428"/>
        <v>0.934689806124958</v>
      </c>
      <c r="L177" s="119">
        <f t="shared" si="1429"/>
        <v>0.94255065427609985</v>
      </c>
      <c r="M177" s="95">
        <f t="shared" si="1430"/>
        <v>0.8175895765472313</v>
      </c>
      <c r="N177" s="265">
        <f t="shared" si="1431"/>
        <v>1.0038592732708853</v>
      </c>
      <c r="O177" s="147"/>
      <c r="P177" s="147"/>
      <c r="Q177" s="147"/>
      <c r="R177" s="169">
        <v>4.5</v>
      </c>
      <c r="S177" s="147"/>
      <c r="T177" s="169">
        <v>9.1999999999999993</v>
      </c>
      <c r="U177" s="148"/>
      <c r="V177" s="181">
        <v>17</v>
      </c>
      <c r="W177" s="148"/>
      <c r="X177" s="148"/>
      <c r="Y177" s="147"/>
      <c r="Z177" s="147"/>
      <c r="AA177" s="147"/>
      <c r="AB177" s="147"/>
      <c r="AC177" s="147"/>
      <c r="AD177" s="148"/>
      <c r="AE177" s="260">
        <f t="shared" ref="AE177" si="1467">AE176</f>
        <v>7.25</v>
      </c>
      <c r="AF177" s="375">
        <f t="shared" si="1433"/>
        <v>0</v>
      </c>
      <c r="AG177" s="377"/>
      <c r="AH177" s="375">
        <f t="shared" si="1433"/>
        <v>0</v>
      </c>
      <c r="AI177" s="377"/>
      <c r="AJ177" s="295" t="str">
        <f t="shared" ref="AJ177" si="1468" xml:space="preserve"> AJ176</f>
        <v>Lystb</v>
      </c>
      <c r="AK177" s="47">
        <f>VLOOKUP(AJ177,Skrogform!$1:$1048576,3,FALSE)</f>
        <v>0.98</v>
      </c>
      <c r="AL177" s="66">
        <f t="shared" ref="AL177:AT177" si="1469">AL176</f>
        <v>7.88</v>
      </c>
      <c r="AM177" s="66">
        <f t="shared" si="1469"/>
        <v>7.03</v>
      </c>
      <c r="AN177" s="66">
        <f t="shared" si="1469"/>
        <v>2.52</v>
      </c>
      <c r="AO177" s="66">
        <f t="shared" si="1469"/>
        <v>1.2</v>
      </c>
      <c r="AP177" s="66">
        <f t="shared" si="1469"/>
        <v>5.2</v>
      </c>
      <c r="AQ177" s="66">
        <f t="shared" si="1469"/>
        <v>1.7</v>
      </c>
      <c r="AR177" s="66">
        <f t="shared" si="1469"/>
        <v>0</v>
      </c>
      <c r="AS177" s="284">
        <f t="shared" si="1469"/>
        <v>15</v>
      </c>
      <c r="AT177" s="284">
        <f t="shared" si="1469"/>
        <v>60</v>
      </c>
      <c r="AU177" s="284">
        <f t="shared" ref="AU177:AV177" si="1470">AU176</f>
        <v>100</v>
      </c>
      <c r="AV177" s="284">
        <f t="shared" si="1470"/>
        <v>100</v>
      </c>
      <c r="AW177" s="284"/>
      <c r="AX177" s="284">
        <f t="shared" si="1437"/>
        <v>0</v>
      </c>
      <c r="AY177" s="68"/>
      <c r="AZ177" s="68"/>
      <c r="BA177" s="289"/>
      <c r="BB177" s="68"/>
      <c r="BC177" s="179"/>
      <c r="BD177" s="68"/>
      <c r="BE177" s="68"/>
      <c r="BF177" s="67" t="str">
        <f t="shared" ref="BF177:BH177" si="1471" xml:space="preserve"> BF176</f>
        <v>Fast</v>
      </c>
      <c r="BG177" s="295">
        <f t="shared" si="1471"/>
        <v>2</v>
      </c>
      <c r="BH177" s="295">
        <f t="shared" si="1471"/>
        <v>38</v>
      </c>
      <c r="BI177" s="47">
        <f t="shared" si="1370"/>
        <v>0.98634917310716319</v>
      </c>
      <c r="BJ177" s="61">
        <f t="shared" si="1455"/>
        <v>0</v>
      </c>
      <c r="BK177" s="61"/>
      <c r="BM177" s="51">
        <f t="shared" si="1439"/>
        <v>0</v>
      </c>
      <c r="BN177" s="51">
        <f t="shared" si="1439"/>
        <v>0</v>
      </c>
      <c r="BO177" s="51">
        <f t="shared" si="1439"/>
        <v>0</v>
      </c>
      <c r="BP177" s="51">
        <f t="shared" si="1439"/>
        <v>4.5</v>
      </c>
      <c r="BQ177" s="51">
        <f t="shared" si="1439"/>
        <v>0</v>
      </c>
      <c r="BR177" s="51">
        <f t="shared" si="1439"/>
        <v>9.1999999999999993</v>
      </c>
      <c r="BS177" s="52">
        <f t="shared" si="1440"/>
        <v>-1.3499999999999999</v>
      </c>
      <c r="BT177" s="88">
        <f t="shared" si="1441"/>
        <v>0</v>
      </c>
      <c r="BU177" s="88">
        <f t="shared" si="1441"/>
        <v>12.75</v>
      </c>
      <c r="BV177" s="88">
        <f t="shared" si="1441"/>
        <v>0</v>
      </c>
      <c r="BW177" s="88">
        <f t="shared" si="1441"/>
        <v>0</v>
      </c>
      <c r="BX177" s="88">
        <f t="shared" si="1441"/>
        <v>0</v>
      </c>
      <c r="BY177" s="88">
        <f t="shared" si="1441"/>
        <v>0</v>
      </c>
      <c r="BZ177" s="88">
        <f t="shared" si="1441"/>
        <v>0</v>
      </c>
      <c r="CA177" s="88">
        <f t="shared" si="1441"/>
        <v>0</v>
      </c>
      <c r="CB177" s="88">
        <f t="shared" si="1441"/>
        <v>0</v>
      </c>
      <c r="CC177" s="88">
        <f t="shared" si="1441"/>
        <v>0</v>
      </c>
      <c r="CD177" s="103">
        <f t="shared" si="1442"/>
        <v>25.1</v>
      </c>
      <c r="CE177" s="52"/>
      <c r="CF177" s="107">
        <f t="shared" si="1443"/>
        <v>30.7</v>
      </c>
      <c r="CG177" s="104">
        <f t="shared" si="1444"/>
        <v>0.8175895765472313</v>
      </c>
      <c r="CH177" s="53">
        <f t="shared" si="1445"/>
        <v>0.62119467674607298</v>
      </c>
      <c r="CI177" s="119">
        <f t="shared" si="1446"/>
        <v>0.934689806124958</v>
      </c>
      <c r="CJ177" s="53">
        <f t="shared" si="1447"/>
        <v>0.94255065427609985</v>
      </c>
      <c r="CK177" s="209"/>
      <c r="CL177" s="209">
        <f t="shared" si="1448"/>
        <v>76.5</v>
      </c>
      <c r="CM177" s="110">
        <f t="shared" si="1189"/>
        <v>0.76351235171617271</v>
      </c>
      <c r="CN177" s="64">
        <f>IF(SeilBeregnet=0,"-",(SeilBeregnet)^(1/2)*StHfaktor/(Depl+DeplTillegg/1000+Vann/1000+Diesel/1000*0.84)^(1/3))</f>
        <v>2.8348356960510501</v>
      </c>
      <c r="CO177" s="64">
        <f t="shared" si="1140"/>
        <v>1.7199806200458578</v>
      </c>
      <c r="CP177" s="64">
        <f t="shared" si="1141"/>
        <v>1.6283165284159498</v>
      </c>
      <c r="CQ177" s="110">
        <f t="shared" si="1142"/>
        <v>1.0038592732708853</v>
      </c>
      <c r="CR177" s="172" t="str">
        <f t="shared" si="1297"/>
        <v>-</v>
      </c>
      <c r="CS177" s="162"/>
      <c r="CT177" s="172" t="str">
        <f t="shared" si="1373"/>
        <v>-</v>
      </c>
      <c r="CU177" s="164"/>
      <c r="CV177" s="195" t="s">
        <v>145</v>
      </c>
      <c r="CW177" s="64">
        <v>0.65</v>
      </c>
      <c r="CX177" s="64">
        <v>0.73</v>
      </c>
      <c r="CY177" s="64">
        <v>0.73</v>
      </c>
      <c r="CZ177" s="154" t="s">
        <v>111</v>
      </c>
      <c r="DA177" s="64">
        <f t="shared" si="1397"/>
        <v>1.9766239122951021</v>
      </c>
      <c r="DB177" s="49">
        <f t="shared" si="1398"/>
        <v>11.374407582938389</v>
      </c>
      <c r="DC177" s="50">
        <f t="shared" si="1399"/>
        <v>0</v>
      </c>
      <c r="DE177" s="110">
        <f>IF(SeilBeregnet=0,"-",DE$7*(DG:DG+DE$6)*DL:DL*PropF+ErfaringsF+Dyp_F)</f>
        <v>0.75596913481413175</v>
      </c>
      <c r="DF177" s="144" t="str">
        <f t="shared" si="1461"/>
        <v>-</v>
      </c>
      <c r="DG177" s="110">
        <f t="shared" si="1400"/>
        <v>4.6602924851077274</v>
      </c>
      <c r="DH177" s="136">
        <f>IF(SeilBeregnet=0,DH174,(SeilBeregnet^0.5/(Depl^0.3333))^DH$3*DH$7)</f>
        <v>2.8919644253337142</v>
      </c>
      <c r="DI177" s="136">
        <f>IF(SeilBeregnet=0,DI174,(SeilBeregnet^0.5/Lwl)^DI$3*DI$7)</f>
        <v>0</v>
      </c>
      <c r="DJ177" s="136">
        <f>IF(SeilBeregnet=0,DJ174,(0.1*Loa/Depl^0.3333)^DJ$3*DJ$7)</f>
        <v>0</v>
      </c>
      <c r="DK177" s="136">
        <f>IF(SeilBeregnet=0,DK174,((Loa)/Bredde)^DK$3*DK$7)</f>
        <v>1.7683280597740134</v>
      </c>
      <c r="DL177" s="110">
        <f>IF(SeilBeregnet=0,DL174,(Lwl)^DL$3)</f>
        <v>1.6283165284159498</v>
      </c>
      <c r="DM177" s="136">
        <f>IF(SeilBeregnet=0,DM174,(Dypg/Loa)^DM$3*5*DM$7)</f>
        <v>1.951180821703814</v>
      </c>
      <c r="DO177" s="110">
        <f t="shared" si="344"/>
        <v>0.77909423644507414</v>
      </c>
      <c r="DP177" s="110">
        <f t="shared" si="1401"/>
        <v>0.75839568127193746</v>
      </c>
      <c r="DR177" s="110">
        <f t="shared" si="1402"/>
        <v>0.78578740028773886</v>
      </c>
      <c r="DS177" s="125" t="str">
        <f t="shared" si="1462"/>
        <v>-</v>
      </c>
      <c r="DT177" s="110">
        <f t="shared" si="1403"/>
        <v>0.75961019943444397</v>
      </c>
      <c r="DU177" s="125" t="str">
        <f t="shared" si="1463"/>
        <v>-</v>
      </c>
      <c r="DV177" s="110">
        <f t="shared" si="214"/>
        <v>2.8918213930080738</v>
      </c>
      <c r="DW177" s="110">
        <f t="shared" si="215"/>
        <v>1.9155355211546612</v>
      </c>
      <c r="DX177" s="110">
        <f t="shared" si="1341"/>
        <v>1.5596217233315703</v>
      </c>
      <c r="DZ177" s="110">
        <f t="shared" si="1404"/>
        <v>0.77329815783574352</v>
      </c>
      <c r="EB177" s="110">
        <f t="shared" si="217"/>
        <v>2.8918213930080738</v>
      </c>
      <c r="EC177" s="110">
        <f t="shared" si="1342"/>
        <v>1.9156475939903101</v>
      </c>
      <c r="ED177" s="110">
        <f t="shared" si="1343"/>
        <v>1.8085615700443574</v>
      </c>
      <c r="EE177" s="110">
        <f t="shared" si="1405"/>
        <v>0.75275485141548637</v>
      </c>
      <c r="EG177" s="110">
        <f t="shared" si="1344"/>
        <v>4.5101474645303545</v>
      </c>
      <c r="EH177" s="110">
        <f t="shared" si="219"/>
        <v>2.8918213930080738</v>
      </c>
      <c r="EI177" s="110">
        <f t="shared" si="1345"/>
        <v>1.5596217233315703</v>
      </c>
      <c r="EJ177" s="110">
        <f t="shared" si="1346"/>
        <v>1.6283165284159498</v>
      </c>
      <c r="EK177" s="110">
        <f>IF(SeilBeregnet=0,"-",EK$7*(EK$4*EM:EM+EK$6)*EP:EP*PropF+ErfaringsF+Dyp_F)</f>
        <v>0.75346595549518436</v>
      </c>
      <c r="EM177" s="110">
        <f>IF(SeilBeregnet=0,EM176,(EN:EN*EO:EO)^EM$3)</f>
        <v>1.6975652039304645</v>
      </c>
      <c r="EN177" s="110">
        <f t="shared" si="220"/>
        <v>2.8918213930080738</v>
      </c>
      <c r="EO177" s="110">
        <f t="shared" si="1347"/>
        <v>0.99650954535539471</v>
      </c>
      <c r="EP177" s="110">
        <f t="shared" si="1348"/>
        <v>1.6428858497330714</v>
      </c>
      <c r="EQ177" s="110">
        <f>IF(SeilBeregnet=0,"-",EQ$7*(ES:ES+EQ$6)*EV:EV*PropF+ErfaringsF+Dyp_F)</f>
        <v>0.75275429343308753</v>
      </c>
      <c r="ES177" s="110">
        <f>(ET:ET*EU:EU)^ES$3</f>
        <v>1.6976071850322956</v>
      </c>
      <c r="ET177" s="110">
        <f t="shared" si="221"/>
        <v>2.8919644253337142</v>
      </c>
      <c r="EU177" s="110">
        <f t="shared" si="1349"/>
        <v>0.99650954535539471</v>
      </c>
      <c r="EV177" s="110">
        <f t="shared" si="1350"/>
        <v>1.6428858497330714</v>
      </c>
      <c r="EW177" s="110">
        <f>IF(SeilBeregnet=0,"-",EW$7*(EY:EY+EW$6)*FB:FB*PropF+ErfaringsF+Dyp_F)</f>
        <v>0.75914480849527199</v>
      </c>
      <c r="EX177" s="144" t="str">
        <f t="shared" si="1464"/>
        <v>-</v>
      </c>
      <c r="EY177" s="110">
        <f>(EZ:EZ*FA:FA)^EY$3</f>
        <v>2.8718111176067462</v>
      </c>
      <c r="EZ177" s="136">
        <f t="shared" si="1352"/>
        <v>2.8919644253337142</v>
      </c>
      <c r="FA177" s="136">
        <f t="shared" si="1353"/>
        <v>0.99303127398441549</v>
      </c>
      <c r="FB177" s="110">
        <f t="shared" si="1354"/>
        <v>0.92386260587536806</v>
      </c>
      <c r="FC177" s="110">
        <f>IF(SeilBeregnet=0,"-",FC$7*(FE:FE+FC$6)*FI:FI*PropF+ErfaringsF+Dyp_F)</f>
        <v>0.75133358393334804</v>
      </c>
      <c r="FD177" s="144" t="str">
        <f t="shared" si="1465"/>
        <v>-</v>
      </c>
      <c r="FE177" s="110">
        <f>(FF:FF+FG:FG+FH:FH)^FE$3+FE$7</f>
        <v>4.8729510939199807</v>
      </c>
      <c r="FF177" s="136">
        <f t="shared" si="1356"/>
        <v>2.8919644253337142</v>
      </c>
      <c r="FG177" s="136">
        <f t="shared" si="1357"/>
        <v>0.71265860881225307</v>
      </c>
      <c r="FH177" s="136">
        <f t="shared" si="1358"/>
        <v>1.7683280597740134</v>
      </c>
      <c r="FI177" s="110">
        <f t="shared" si="1359"/>
        <v>1.6283165284159498</v>
      </c>
      <c r="FJ177" s="110">
        <f>IF(SeilBeregnet=0,"-",FJ$7*(FL:FL+FJ$6)*FO:FO*PropF+ErfaringsF+Dyp_F)</f>
        <v>0.76116552987390329</v>
      </c>
      <c r="FK177" s="144" t="str">
        <f t="shared" si="1466"/>
        <v>-</v>
      </c>
      <c r="FL177" s="110">
        <f>(FM:FM*FN:FN)^FL$3</f>
        <v>5.1139418411858362</v>
      </c>
      <c r="FM177" s="136">
        <f t="shared" si="1361"/>
        <v>2.8919644253337142</v>
      </c>
      <c r="FN177" s="136">
        <f t="shared" si="1362"/>
        <v>1.7683280597740134</v>
      </c>
      <c r="FO177" s="110">
        <f t="shared" si="1363"/>
        <v>1.6283165284159498</v>
      </c>
      <c r="FQ177">
        <v>0.95</v>
      </c>
      <c r="FR177" s="64">
        <f t="shared" si="1249"/>
        <v>0.95654329767249258</v>
      </c>
      <c r="FS177" s="479"/>
      <c r="FT177" s="18"/>
      <c r="FU177" s="481"/>
      <c r="FV177" s="504"/>
      <c r="FW177" s="18"/>
      <c r="FX177" s="18"/>
      <c r="FY177" s="18"/>
      <c r="FZ177" s="18"/>
      <c r="GB177" s="18"/>
      <c r="GC177" s="481"/>
      <c r="GD177" s="8"/>
      <c r="GE177" s="8"/>
      <c r="GF177" s="8"/>
      <c r="GG177" s="8"/>
      <c r="GI177" s="18"/>
      <c r="GJ177" s="18"/>
      <c r="GK177" s="18"/>
      <c r="GL177" s="18"/>
      <c r="GM177" s="18"/>
      <c r="GN177" s="18"/>
      <c r="GO177" s="18"/>
      <c r="GP177" s="18"/>
    </row>
    <row r="178" spans="1:198" ht="15.6" x14ac:dyDescent="0.3">
      <c r="A178" s="62" t="s">
        <v>38</v>
      </c>
      <c r="B178" s="223"/>
      <c r="C178" s="63" t="str">
        <f>C174</f>
        <v>Gaffel</v>
      </c>
      <c r="D178" s="63"/>
      <c r="E178" s="63"/>
      <c r="F178" s="63"/>
      <c r="G178" s="56"/>
      <c r="H178" s="209">
        <f t="shared" si="1425"/>
        <v>73.5</v>
      </c>
      <c r="I178" s="65">
        <f t="shared" si="1426"/>
        <v>2</v>
      </c>
      <c r="J178" s="228">
        <f t="shared" si="1427"/>
        <v>26.2</v>
      </c>
      <c r="K178" s="119">
        <f t="shared" si="1428"/>
        <v>0.79768315701869386</v>
      </c>
      <c r="L178" s="119">
        <f t="shared" si="1429"/>
        <v>0.80439176358416331</v>
      </c>
      <c r="M178" s="95">
        <f t="shared" si="1430"/>
        <v>0.83778625954198471</v>
      </c>
      <c r="N178" s="265">
        <f t="shared" si="1431"/>
        <v>1.0038592732708853</v>
      </c>
      <c r="O178" s="147"/>
      <c r="P178" s="147"/>
      <c r="Q178" s="147"/>
      <c r="R178" s="147"/>
      <c r="S178" s="147"/>
      <c r="T178" s="169">
        <v>9.1999999999999993</v>
      </c>
      <c r="U178" s="148"/>
      <c r="V178" s="181">
        <v>17</v>
      </c>
      <c r="W178" s="148"/>
      <c r="X178" s="148"/>
      <c r="Y178" s="147"/>
      <c r="Z178" s="147"/>
      <c r="AA178" s="147"/>
      <c r="AB178" s="147"/>
      <c r="AC178" s="147"/>
      <c r="AD178" s="148"/>
      <c r="AE178" s="260">
        <f t="shared" ref="AE178" si="1472">AE177</f>
        <v>7.25</v>
      </c>
      <c r="AF178" s="375">
        <f t="shared" si="1433"/>
        <v>0</v>
      </c>
      <c r="AG178" s="377"/>
      <c r="AH178" s="375">
        <f t="shared" si="1433"/>
        <v>0</v>
      </c>
      <c r="AI178" s="377"/>
      <c r="AJ178" s="295" t="str">
        <f t="shared" ref="AJ178" si="1473" xml:space="preserve"> AJ177</f>
        <v>Lystb</v>
      </c>
      <c r="AK178" s="47">
        <f>VLOOKUP(AJ178,Skrogform!$1:$1048576,3,FALSE)</f>
        <v>0.98</v>
      </c>
      <c r="AL178" s="66">
        <f t="shared" ref="AL178:AT178" si="1474">AL177</f>
        <v>7.88</v>
      </c>
      <c r="AM178" s="66">
        <f t="shared" si="1474"/>
        <v>7.03</v>
      </c>
      <c r="AN178" s="66">
        <f t="shared" si="1474"/>
        <v>2.52</v>
      </c>
      <c r="AO178" s="66">
        <f t="shared" si="1474"/>
        <v>1.2</v>
      </c>
      <c r="AP178" s="66">
        <f t="shared" si="1474"/>
        <v>5.2</v>
      </c>
      <c r="AQ178" s="66">
        <f t="shared" si="1474"/>
        <v>1.7</v>
      </c>
      <c r="AR178" s="66">
        <f t="shared" si="1474"/>
        <v>0</v>
      </c>
      <c r="AS178" s="284">
        <f t="shared" si="1474"/>
        <v>15</v>
      </c>
      <c r="AT178" s="284">
        <f t="shared" si="1474"/>
        <v>60</v>
      </c>
      <c r="AU178" s="284">
        <f t="shared" ref="AU178:AV178" si="1475">AU177</f>
        <v>100</v>
      </c>
      <c r="AV178" s="284">
        <f t="shared" si="1475"/>
        <v>100</v>
      </c>
      <c r="AW178" s="284"/>
      <c r="AX178" s="284">
        <f t="shared" si="1437"/>
        <v>0</v>
      </c>
      <c r="AY178" s="68"/>
      <c r="AZ178" s="68"/>
      <c r="BA178" s="289"/>
      <c r="BB178" s="68"/>
      <c r="BC178" s="179"/>
      <c r="BD178" s="68"/>
      <c r="BE178" s="68"/>
      <c r="BF178" s="67" t="str">
        <f t="shared" ref="BF178:BH178" si="1476" xml:space="preserve"> BF177</f>
        <v>Fast</v>
      </c>
      <c r="BG178" s="295">
        <f t="shared" si="1476"/>
        <v>2</v>
      </c>
      <c r="BH178" s="295">
        <f t="shared" si="1476"/>
        <v>38</v>
      </c>
      <c r="BI178" s="47">
        <f t="shared" si="1370"/>
        <v>0.98634917310716319</v>
      </c>
      <c r="BJ178" s="61">
        <f t="shared" si="1455"/>
        <v>0</v>
      </c>
      <c r="BK178" s="61"/>
      <c r="BM178" s="51">
        <f t="shared" si="1439"/>
        <v>0</v>
      </c>
      <c r="BN178" s="51">
        <f t="shared" si="1439"/>
        <v>0</v>
      </c>
      <c r="BO178" s="51">
        <f t="shared" si="1439"/>
        <v>0</v>
      </c>
      <c r="BP178" s="51">
        <f t="shared" si="1439"/>
        <v>0</v>
      </c>
      <c r="BQ178" s="51">
        <f t="shared" si="1439"/>
        <v>0</v>
      </c>
      <c r="BR178" s="51">
        <f t="shared" si="1439"/>
        <v>9.1999999999999993</v>
      </c>
      <c r="BS178" s="52">
        <f t="shared" si="1440"/>
        <v>0</v>
      </c>
      <c r="BT178" s="88">
        <f t="shared" si="1441"/>
        <v>0</v>
      </c>
      <c r="BU178" s="88">
        <f t="shared" si="1441"/>
        <v>12.75</v>
      </c>
      <c r="BV178" s="88">
        <f t="shared" si="1441"/>
        <v>0</v>
      </c>
      <c r="BW178" s="88">
        <f t="shared" si="1441"/>
        <v>0</v>
      </c>
      <c r="BX178" s="88">
        <f t="shared" si="1441"/>
        <v>0</v>
      </c>
      <c r="BY178" s="88">
        <f t="shared" si="1441"/>
        <v>0</v>
      </c>
      <c r="BZ178" s="88">
        <f t="shared" si="1441"/>
        <v>0</v>
      </c>
      <c r="CA178" s="88">
        <f t="shared" si="1441"/>
        <v>0</v>
      </c>
      <c r="CB178" s="88">
        <f t="shared" si="1441"/>
        <v>0</v>
      </c>
      <c r="CC178" s="88">
        <f t="shared" si="1441"/>
        <v>0</v>
      </c>
      <c r="CD178" s="103">
        <f t="shared" si="1442"/>
        <v>21.95</v>
      </c>
      <c r="CE178" s="52"/>
      <c r="CF178" s="107">
        <f t="shared" si="1443"/>
        <v>26.2</v>
      </c>
      <c r="CG178" s="104">
        <f t="shared" si="1444"/>
        <v>0.83778625954198471</v>
      </c>
      <c r="CH178" s="53">
        <f t="shared" si="1445"/>
        <v>0.5301400824347593</v>
      </c>
      <c r="CI178" s="119">
        <f t="shared" si="1446"/>
        <v>0.79768315701869386</v>
      </c>
      <c r="CJ178" s="53">
        <f t="shared" si="1447"/>
        <v>0.80439176358416331</v>
      </c>
      <c r="CK178" s="209"/>
      <c r="CL178" s="209">
        <f t="shared" si="1448"/>
        <v>73.5</v>
      </c>
      <c r="CM178" s="110">
        <f t="shared" si="1189"/>
        <v>0.73269497168922981</v>
      </c>
      <c r="CN178" s="64">
        <f>IF(SeilBeregnet=0,"-",(SeilBeregnet)^(1/2)*StHfaktor/(Depl+DeplTillegg/1000+Vann/1000+Diesel/1000*0.84)^(1/3))</f>
        <v>2.6509912499846964</v>
      </c>
      <c r="CO178" s="64">
        <f t="shared" si="1140"/>
        <v>1.7199806200458578</v>
      </c>
      <c r="CP178" s="64">
        <f t="shared" si="1141"/>
        <v>1.6283165284159498</v>
      </c>
      <c r="CQ178" s="110">
        <f t="shared" si="1142"/>
        <v>1.0038592732708853</v>
      </c>
      <c r="CR178" s="172" t="str">
        <f t="shared" si="1297"/>
        <v>-</v>
      </c>
      <c r="CS178" s="162"/>
      <c r="CT178" s="172" t="str">
        <f t="shared" si="1373"/>
        <v>-</v>
      </c>
      <c r="CU178" s="164"/>
      <c r="CV178" s="195" t="s">
        <v>145</v>
      </c>
      <c r="CW178" s="64">
        <v>0.65</v>
      </c>
      <c r="CX178" s="64">
        <v>0.73</v>
      </c>
      <c r="CY178" s="64">
        <v>0.73</v>
      </c>
      <c r="CZ178" s="154" t="s">
        <v>111</v>
      </c>
      <c r="DA178" s="64">
        <f t="shared" si="1397"/>
        <v>1.9766239122951021</v>
      </c>
      <c r="DB178" s="49">
        <f t="shared" si="1398"/>
        <v>11.374407582938389</v>
      </c>
      <c r="DC178" s="50">
        <f t="shared" si="1399"/>
        <v>0</v>
      </c>
      <c r="DE178" s="110">
        <f>IF(SeilBeregnet=0,"-",DE$7*(DG:DG+DE$6)*DL:DL*PropF+ErfaringsF+Dyp_F)</f>
        <v>0.7255458251572825</v>
      </c>
      <c r="DF178" s="144" t="str">
        <f t="shared" si="1461"/>
        <v>-</v>
      </c>
      <c r="DG178" s="110">
        <f t="shared" si="1400"/>
        <v>4.4727431331083505</v>
      </c>
      <c r="DH178" s="136">
        <f>IF(SeilBeregnet=0,DH174,(SeilBeregnet^0.5/(Depl^0.3333))^DH$3*DH$7)</f>
        <v>2.7044150733343368</v>
      </c>
      <c r="DI178" s="136">
        <f>IF(SeilBeregnet=0,DI174,(SeilBeregnet^0.5/Lwl)^DI$3*DI$7)</f>
        <v>0</v>
      </c>
      <c r="DJ178" s="136">
        <f>IF(SeilBeregnet=0,DJ174,(0.1*Loa/Depl^0.3333)^DJ$3*DJ$7)</f>
        <v>0</v>
      </c>
      <c r="DK178" s="136">
        <f>IF(SeilBeregnet=0,DK174,((Loa)/Bredde)^DK$3*DK$7)</f>
        <v>1.7683280597740134</v>
      </c>
      <c r="DL178" s="110">
        <f>IF(SeilBeregnet=0,DL174,(Lwl)^DL$3)</f>
        <v>1.6283165284159498</v>
      </c>
      <c r="DM178" s="136">
        <f>IF(SeilBeregnet=0,DM174,(Dypg/Loa)^DM$3*5*DM$7)</f>
        <v>1.951180821703814</v>
      </c>
      <c r="DO178" s="110">
        <f t="shared" si="344"/>
        <v>0.74764793029513243</v>
      </c>
      <c r="DP178" s="110">
        <f t="shared" si="1401"/>
        <v>0.72200832427502182</v>
      </c>
      <c r="DR178" s="110">
        <f t="shared" si="1402"/>
        <v>0.7566131139019433</v>
      </c>
      <c r="DS178" s="125" t="str">
        <f t="shared" si="1462"/>
        <v>-</v>
      </c>
      <c r="DT178" s="110">
        <f t="shared" si="1403"/>
        <v>0.72497866126025579</v>
      </c>
      <c r="DU178" s="125" t="str">
        <f t="shared" si="1463"/>
        <v>-</v>
      </c>
      <c r="DV178" s="110">
        <f t="shared" si="214"/>
        <v>2.7042813169250093</v>
      </c>
      <c r="DW178" s="110">
        <f t="shared" si="215"/>
        <v>1.9155355211546612</v>
      </c>
      <c r="DX178" s="110">
        <f t="shared" si="1341"/>
        <v>1.5596217233315703</v>
      </c>
      <c r="DZ178" s="110">
        <f t="shared" si="1404"/>
        <v>0.74209406191152649</v>
      </c>
      <c r="EB178" s="110">
        <f t="shared" si="217"/>
        <v>2.7042813169250093</v>
      </c>
      <c r="EC178" s="110">
        <f t="shared" si="1342"/>
        <v>1.9156475939903101</v>
      </c>
      <c r="ED178" s="110">
        <f t="shared" si="1343"/>
        <v>1.8085615700443574</v>
      </c>
      <c r="EE178" s="110">
        <f t="shared" si="1405"/>
        <v>0.71893465693842473</v>
      </c>
      <c r="EG178" s="110">
        <f t="shared" si="1344"/>
        <v>4.2176558878759511</v>
      </c>
      <c r="EH178" s="110">
        <f t="shared" si="219"/>
        <v>2.7042813169250093</v>
      </c>
      <c r="EI178" s="110">
        <f t="shared" si="1345"/>
        <v>1.5596217233315703</v>
      </c>
      <c r="EJ178" s="110">
        <f t="shared" si="1346"/>
        <v>1.6283165284159498</v>
      </c>
      <c r="EK178" s="110">
        <f>IF(SeilBeregnet=0,"-",EK$7*(EK$4*EM:EM+EK$6)*EP:EP*PropF+ErfaringsF+Dyp_F)</f>
        <v>0.71825300279807069</v>
      </c>
      <c r="EM178" s="110">
        <f>IF(SeilBeregnet=0,EM177,(EN:EN*EO:EO)^EM$3)</f>
        <v>1.6415974371453037</v>
      </c>
      <c r="EN178" s="110">
        <f t="shared" si="220"/>
        <v>2.7042813169250093</v>
      </c>
      <c r="EO178" s="110">
        <f t="shared" si="1347"/>
        <v>0.99650954535539471</v>
      </c>
      <c r="EP178" s="110">
        <f t="shared" si="1348"/>
        <v>1.6428858497330714</v>
      </c>
      <c r="EQ178" s="110">
        <f>IF(SeilBeregnet=0,"-",EQ$7*(ES:ES+EQ$6)*EV:EV*PropF+ErfaringsF+Dyp_F)</f>
        <v>0.72793640918107427</v>
      </c>
      <c r="ES178" s="110">
        <f>(ET:ET*EU:EU)^ES$3</f>
        <v>1.6416380341538985</v>
      </c>
      <c r="ET178" s="110">
        <f t="shared" si="221"/>
        <v>2.7044150733343368</v>
      </c>
      <c r="EU178" s="110">
        <f t="shared" si="1349"/>
        <v>0.99650954535539471</v>
      </c>
      <c r="EV178" s="110">
        <f t="shared" si="1350"/>
        <v>1.6428858497330714</v>
      </c>
      <c r="EW178" s="110">
        <f>IF(SeilBeregnet=0,"-",EW$7*(EY:EY+EW$6)*FB:FB*PropF+ErfaringsF+Dyp_F)</f>
        <v>0.73012378810361511</v>
      </c>
      <c r="EX178" s="144" t="str">
        <f t="shared" si="1464"/>
        <v>-</v>
      </c>
      <c r="EY178" s="110">
        <f>(EZ:EZ*FA:FA)^EY$3</f>
        <v>2.685568745655853</v>
      </c>
      <c r="EZ178" s="136">
        <f t="shared" si="1352"/>
        <v>2.7044150733343368</v>
      </c>
      <c r="FA178" s="136">
        <f t="shared" si="1353"/>
        <v>0.99303127398441549</v>
      </c>
      <c r="FB178" s="110">
        <f t="shared" si="1354"/>
        <v>0.92386260587536806</v>
      </c>
      <c r="FC178" s="110">
        <f>IF(SeilBeregnet=0,"-",FC$7*(FE:FE+FC$6)*FI:FI*PropF+ErfaringsF+Dyp_F)</f>
        <v>0.71529039367131309</v>
      </c>
      <c r="FD178" s="144" t="str">
        <f t="shared" si="1465"/>
        <v>-</v>
      </c>
      <c r="FE178" s="110">
        <f>(FF:FF+FG:FG+FH:FH)^FE$3+FE$7</f>
        <v>4.639184485889146</v>
      </c>
      <c r="FF178" s="136">
        <f t="shared" si="1356"/>
        <v>2.7044150733343368</v>
      </c>
      <c r="FG178" s="136">
        <f t="shared" si="1357"/>
        <v>0.66644135278079542</v>
      </c>
      <c r="FH178" s="136">
        <f t="shared" si="1358"/>
        <v>1.7683280597740134</v>
      </c>
      <c r="FI178" s="110">
        <f t="shared" si="1359"/>
        <v>1.6283165284159498</v>
      </c>
      <c r="FJ178" s="110">
        <f>IF(SeilBeregnet=0,"-",FJ$7*(FL:FL+FJ$6)*FO:FO*PropF+ErfaringsF+Dyp_F)</f>
        <v>0.73346734778336053</v>
      </c>
      <c r="FK178" s="144" t="str">
        <f t="shared" si="1466"/>
        <v>-</v>
      </c>
      <c r="FL178" s="110">
        <f>(FM:FM*FN:FN)^FL$3</f>
        <v>4.7822930594529041</v>
      </c>
      <c r="FM178" s="136">
        <f t="shared" si="1361"/>
        <v>2.7044150733343368</v>
      </c>
      <c r="FN178" s="136">
        <f t="shared" si="1362"/>
        <v>1.7683280597740134</v>
      </c>
      <c r="FO178" s="110">
        <f t="shared" si="1363"/>
        <v>1.6283165284159498</v>
      </c>
      <c r="FQ178">
        <v>0.95</v>
      </c>
      <c r="FR178" s="64">
        <f t="shared" si="1249"/>
        <v>0.92940962854047404</v>
      </c>
      <c r="FS178" s="479"/>
      <c r="FT178" s="18"/>
      <c r="FU178" s="481"/>
      <c r="FV178" s="504"/>
      <c r="FW178" s="18"/>
      <c r="FX178" s="18"/>
      <c r="FY178" s="18"/>
      <c r="FZ178" s="18"/>
      <c r="GB178" s="18"/>
      <c r="GC178" s="481"/>
      <c r="GD178" s="8"/>
      <c r="GE178" s="8"/>
      <c r="GF178" s="8"/>
      <c r="GG178" s="8"/>
      <c r="GI178" s="18"/>
      <c r="GJ178" s="18"/>
      <c r="GK178" s="18"/>
      <c r="GL178" s="18"/>
      <c r="GM178" s="18"/>
      <c r="GN178" s="18"/>
      <c r="GO178" s="18"/>
      <c r="GP178" s="18"/>
    </row>
    <row r="179" spans="1:198" ht="15.6" x14ac:dyDescent="0.3">
      <c r="A179" s="62" t="s">
        <v>39</v>
      </c>
      <c r="B179" s="223"/>
      <c r="C179" s="63" t="str">
        <f>C175</f>
        <v>Gaffel</v>
      </c>
      <c r="D179" s="63"/>
      <c r="E179" s="63"/>
      <c r="F179" s="63"/>
      <c r="G179" s="56"/>
      <c r="H179" s="209">
        <f t="shared" si="1425"/>
        <v>70</v>
      </c>
      <c r="I179" s="65">
        <f t="shared" si="1426"/>
        <v>2</v>
      </c>
      <c r="J179" s="228">
        <f t="shared" si="1427"/>
        <v>23.2</v>
      </c>
      <c r="K179" s="119">
        <f t="shared" si="1428"/>
        <v>0.70634539094785109</v>
      </c>
      <c r="L179" s="119">
        <f t="shared" si="1429"/>
        <v>0.7122858364562058</v>
      </c>
      <c r="M179" s="95">
        <f t="shared" si="1430"/>
        <v>0.81896551724137934</v>
      </c>
      <c r="N179" s="265">
        <f t="shared" si="1431"/>
        <v>1.0038592732708853</v>
      </c>
      <c r="O179" s="147"/>
      <c r="P179" s="147"/>
      <c r="Q179" s="147"/>
      <c r="R179" s="147"/>
      <c r="S179" s="147"/>
      <c r="T179" s="169">
        <v>9.1999999999999993</v>
      </c>
      <c r="U179" s="148"/>
      <c r="V179" s="148"/>
      <c r="W179" s="181">
        <v>14</v>
      </c>
      <c r="X179" s="148"/>
      <c r="Y179" s="147"/>
      <c r="Z179" s="147"/>
      <c r="AA179" s="147"/>
      <c r="AB179" s="147"/>
      <c r="AC179" s="147"/>
      <c r="AD179" s="148"/>
      <c r="AE179" s="260">
        <f t="shared" ref="AE179" si="1477">AE178</f>
        <v>7.25</v>
      </c>
      <c r="AF179" s="375">
        <f t="shared" si="1433"/>
        <v>0</v>
      </c>
      <c r="AG179" s="377"/>
      <c r="AH179" s="375">
        <f t="shared" si="1433"/>
        <v>0</v>
      </c>
      <c r="AI179" s="377"/>
      <c r="AJ179" s="295" t="str">
        <f t="shared" ref="AJ179" si="1478" xml:space="preserve"> AJ178</f>
        <v>Lystb</v>
      </c>
      <c r="AK179" s="47">
        <f>VLOOKUP(AJ179,Skrogform!$1:$1048576,3,FALSE)</f>
        <v>0.98</v>
      </c>
      <c r="AL179" s="66">
        <f t="shared" ref="AL179:AT179" si="1479">AL178</f>
        <v>7.88</v>
      </c>
      <c r="AM179" s="66">
        <f t="shared" si="1479"/>
        <v>7.03</v>
      </c>
      <c r="AN179" s="66">
        <f t="shared" si="1479"/>
        <v>2.52</v>
      </c>
      <c r="AO179" s="66">
        <f t="shared" si="1479"/>
        <v>1.2</v>
      </c>
      <c r="AP179" s="66">
        <f t="shared" si="1479"/>
        <v>5.2</v>
      </c>
      <c r="AQ179" s="66">
        <f t="shared" si="1479"/>
        <v>1.7</v>
      </c>
      <c r="AR179" s="66">
        <f t="shared" si="1479"/>
        <v>0</v>
      </c>
      <c r="AS179" s="284">
        <f t="shared" si="1479"/>
        <v>15</v>
      </c>
      <c r="AT179" s="284">
        <f t="shared" si="1479"/>
        <v>60</v>
      </c>
      <c r="AU179" s="284">
        <f t="shared" ref="AU179:AV179" si="1480">AU178</f>
        <v>100</v>
      </c>
      <c r="AV179" s="284">
        <f t="shared" si="1480"/>
        <v>100</v>
      </c>
      <c r="AW179" s="284"/>
      <c r="AX179" s="284">
        <f t="shared" si="1437"/>
        <v>0</v>
      </c>
      <c r="AY179" s="68"/>
      <c r="AZ179" s="68"/>
      <c r="BA179" s="289"/>
      <c r="BB179" s="68"/>
      <c r="BC179" s="179"/>
      <c r="BD179" s="68"/>
      <c r="BE179" s="68"/>
      <c r="BF179" s="67" t="str">
        <f t="shared" ref="BF179:BH179" si="1481" xml:space="preserve"> BF178</f>
        <v>Fast</v>
      </c>
      <c r="BG179" s="295">
        <f t="shared" si="1481"/>
        <v>2</v>
      </c>
      <c r="BH179" s="295">
        <f t="shared" si="1481"/>
        <v>38</v>
      </c>
      <c r="BI179" s="47">
        <f t="shared" si="1370"/>
        <v>0.98634917310716319</v>
      </c>
      <c r="BJ179" s="61">
        <f t="shared" si="1455"/>
        <v>0</v>
      </c>
      <c r="BK179" s="61"/>
      <c r="BM179" s="51">
        <f t="shared" si="1439"/>
        <v>0</v>
      </c>
      <c r="BN179" s="51">
        <f t="shared" si="1439"/>
        <v>0</v>
      </c>
      <c r="BO179" s="51">
        <f t="shared" si="1439"/>
        <v>0</v>
      </c>
      <c r="BP179" s="51">
        <f t="shared" si="1439"/>
        <v>0</v>
      </c>
      <c r="BQ179" s="51">
        <f t="shared" si="1439"/>
        <v>0</v>
      </c>
      <c r="BR179" s="51">
        <f t="shared" si="1439"/>
        <v>9.1999999999999993</v>
      </c>
      <c r="BS179" s="52">
        <f t="shared" si="1440"/>
        <v>0</v>
      </c>
      <c r="BT179" s="88">
        <f t="shared" si="1441"/>
        <v>0</v>
      </c>
      <c r="BU179" s="88">
        <f t="shared" si="1441"/>
        <v>0</v>
      </c>
      <c r="BV179" s="88">
        <f t="shared" si="1441"/>
        <v>9.7999999999999989</v>
      </c>
      <c r="BW179" s="88">
        <f t="shared" si="1441"/>
        <v>0</v>
      </c>
      <c r="BX179" s="88">
        <f t="shared" si="1441"/>
        <v>0</v>
      </c>
      <c r="BY179" s="88">
        <f t="shared" si="1441"/>
        <v>0</v>
      </c>
      <c r="BZ179" s="88">
        <f t="shared" si="1441"/>
        <v>0</v>
      </c>
      <c r="CA179" s="88">
        <f t="shared" si="1441"/>
        <v>0</v>
      </c>
      <c r="CB179" s="88">
        <f t="shared" si="1441"/>
        <v>0</v>
      </c>
      <c r="CC179" s="88">
        <f t="shared" si="1441"/>
        <v>0</v>
      </c>
      <c r="CD179" s="103">
        <f t="shared" si="1442"/>
        <v>19</v>
      </c>
      <c r="CE179" s="52"/>
      <c r="CF179" s="107">
        <f t="shared" si="1443"/>
        <v>23.2</v>
      </c>
      <c r="CG179" s="104">
        <f t="shared" si="1444"/>
        <v>0.81896551724137934</v>
      </c>
      <c r="CH179" s="53">
        <f t="shared" si="1445"/>
        <v>0.46943701956055028</v>
      </c>
      <c r="CI179" s="119">
        <f t="shared" si="1446"/>
        <v>0.70634539094785109</v>
      </c>
      <c r="CJ179" s="53">
        <f t="shared" si="1447"/>
        <v>0.7122858364562058</v>
      </c>
      <c r="CK179" s="209"/>
      <c r="CL179" s="209">
        <f t="shared" si="1448"/>
        <v>70</v>
      </c>
      <c r="CM179" s="110">
        <f t="shared" si="1189"/>
        <v>0.70175652006077971</v>
      </c>
      <c r="CN179" s="64">
        <f>IF(SeilBeregnet=0,"-",(SeilBeregnet)^(1/2)*StHfaktor/(Depl+DeplTillegg/1000+Vann/1000+Diesel/1000*0.84)^(1/3))</f>
        <v>2.4664245380575207</v>
      </c>
      <c r="CO179" s="64">
        <f t="shared" si="1140"/>
        <v>1.7199806200458578</v>
      </c>
      <c r="CP179" s="64">
        <f t="shared" si="1141"/>
        <v>1.6283165284159498</v>
      </c>
      <c r="CQ179" s="110">
        <f t="shared" si="1142"/>
        <v>1.0038592732708853</v>
      </c>
      <c r="CR179" s="172" t="str">
        <f t="shared" si="1297"/>
        <v>-</v>
      </c>
      <c r="CS179" s="162"/>
      <c r="CT179" s="172" t="str">
        <f t="shared" si="1373"/>
        <v>-</v>
      </c>
      <c r="CU179" s="164"/>
      <c r="CV179" s="195" t="s">
        <v>145</v>
      </c>
      <c r="CW179" s="64">
        <v>0.65</v>
      </c>
      <c r="CX179" s="64">
        <v>0.73</v>
      </c>
      <c r="CY179" s="64">
        <v>0.73</v>
      </c>
      <c r="CZ179" s="154" t="s">
        <v>111</v>
      </c>
      <c r="DA179" s="64">
        <f t="shared" si="1397"/>
        <v>1.9766239122951021</v>
      </c>
      <c r="DB179" s="49">
        <f t="shared" si="1398"/>
        <v>11.374407582938389</v>
      </c>
      <c r="DC179" s="50">
        <f t="shared" si="1399"/>
        <v>0</v>
      </c>
      <c r="DE179" s="110">
        <f>IF(SeilBeregnet=0,"-",DE$7*(DG:DG+DE$6)*DL:DL*PropF+ErfaringsF+Dyp_F)</f>
        <v>0.69500299207501282</v>
      </c>
      <c r="DF179" s="144" t="str">
        <f t="shared" si="1161"/>
        <v>-</v>
      </c>
      <c r="DG179" s="110">
        <f t="shared" si="1400"/>
        <v>4.2844569598610827</v>
      </c>
      <c r="DH179" s="136">
        <f>IF(SeilBeregnet=0,DH175,(SeilBeregnet^0.5/(Depl^0.3333))^DH$3*DH$7)</f>
        <v>2.5161289000870695</v>
      </c>
      <c r="DI179" s="136">
        <f>IF(SeilBeregnet=0,DI175,(SeilBeregnet^0.5/Lwl)^DI$3*DI$7)</f>
        <v>0</v>
      </c>
      <c r="DJ179" s="136">
        <f>IF(SeilBeregnet=0,DJ175,(0.1*Loa/Depl^0.3333)^DJ$3*DJ$7)</f>
        <v>0</v>
      </c>
      <c r="DK179" s="136">
        <f>IF(SeilBeregnet=0,DK175,((Loa)/Bredde)^DK$3*DK$7)</f>
        <v>1.7683280597740134</v>
      </c>
      <c r="DL179" s="110">
        <f>IF(SeilBeregnet=0,DL175,(Lwl)^DL$3)</f>
        <v>1.6283165284159498</v>
      </c>
      <c r="DM179" s="136">
        <f>IF(SeilBeregnet=0,DM175,(Dypg/Loa)^DM$3*5*DM$7)</f>
        <v>1.951180821703814</v>
      </c>
      <c r="DO179" s="110">
        <f t="shared" si="344"/>
        <v>0.71607808169467313</v>
      </c>
      <c r="DP179" s="110">
        <f t="shared" si="1401"/>
        <v>0.68547801302364442</v>
      </c>
      <c r="DR179" s="110">
        <f t="shared" si="1402"/>
        <v>0.72732421110253764</v>
      </c>
      <c r="DS179" s="125" t="str">
        <f t="shared" si="1162"/>
        <v>-</v>
      </c>
      <c r="DT179" s="110">
        <f t="shared" si="1403"/>
        <v>0.69021106688058453</v>
      </c>
      <c r="DU179" s="125" t="str">
        <f t="shared" si="1163"/>
        <v>-</v>
      </c>
      <c r="DV179" s="110">
        <f t="shared" si="214"/>
        <v>2.5160044560361543</v>
      </c>
      <c r="DW179" s="110">
        <f t="shared" si="215"/>
        <v>1.9155355211546612</v>
      </c>
      <c r="DX179" s="110">
        <f t="shared" si="1341"/>
        <v>1.5596217233315703</v>
      </c>
      <c r="DZ179" s="110">
        <f t="shared" si="1404"/>
        <v>0.71076737510308052</v>
      </c>
      <c r="EB179" s="110">
        <f t="shared" si="217"/>
        <v>2.5160044560361543</v>
      </c>
      <c r="EC179" s="110">
        <f t="shared" si="1342"/>
        <v>1.9156475939903101</v>
      </c>
      <c r="ED179" s="110">
        <f t="shared" si="1343"/>
        <v>1.8085615700443574</v>
      </c>
      <c r="EE179" s="110">
        <f t="shared" si="1405"/>
        <v>0.68498159376502887</v>
      </c>
      <c r="EG179" s="110">
        <f t="shared" si="1344"/>
        <v>3.9240152056330171</v>
      </c>
      <c r="EH179" s="110">
        <f t="shared" si="219"/>
        <v>2.5160044560361543</v>
      </c>
      <c r="EI179" s="110">
        <f t="shared" si="1345"/>
        <v>1.5596217233315703</v>
      </c>
      <c r="EJ179" s="110">
        <f t="shared" si="1346"/>
        <v>1.6283165284159498</v>
      </c>
      <c r="EK179" s="110">
        <f>IF(SeilBeregnet=0,"-",EK$7*(EK$4*EM:EM+EK$6)*EP:EP*PropF+ErfaringsF+Dyp_F)</f>
        <v>0.68165051045061487</v>
      </c>
      <c r="EM179" s="110">
        <f>IF(SeilBeregnet=0,EM178,(EN:EN*EO:EO)^EM$3)</f>
        <v>1.5834211242107183</v>
      </c>
      <c r="EN179" s="110">
        <f t="shared" si="220"/>
        <v>2.5160044560361543</v>
      </c>
      <c r="EO179" s="110">
        <f t="shared" si="1347"/>
        <v>0.99650954535539471</v>
      </c>
      <c r="EP179" s="110">
        <f t="shared" si="1348"/>
        <v>1.6428858497330714</v>
      </c>
      <c r="EQ179" s="110">
        <f>IF(SeilBeregnet=0,"-",EQ$7*(ES:ES+EQ$6)*EV:EV*PropF+ErfaringsF+Dyp_F)</f>
        <v>0.70213918546547227</v>
      </c>
      <c r="ES179" s="110">
        <f>(ET:ET*EU:EU)^ES$3</f>
        <v>1.5834602825083219</v>
      </c>
      <c r="ET179" s="110">
        <f t="shared" si="221"/>
        <v>2.5161289000870695</v>
      </c>
      <c r="EU179" s="110">
        <f t="shared" si="1349"/>
        <v>0.99650954535539471</v>
      </c>
      <c r="EV179" s="110">
        <f t="shared" si="1350"/>
        <v>1.6428858497330714</v>
      </c>
      <c r="EW179" s="110">
        <f>IF(SeilBeregnet=0,"-",EW$7*(EY:EY+EW$6)*FB:FB*PropF+ErfaringsF+Dyp_F)</f>
        <v>0.70098875343127898</v>
      </c>
      <c r="EX179" s="144" t="str">
        <f t="shared" si="1246"/>
        <v>-</v>
      </c>
      <c r="EY179" s="110">
        <f>(EZ:EZ*FA:FA)^EY$3</f>
        <v>2.4985946871624685</v>
      </c>
      <c r="EZ179" s="136">
        <f t="shared" si="1352"/>
        <v>2.5161289000870695</v>
      </c>
      <c r="FA179" s="136">
        <f t="shared" si="1353"/>
        <v>0.99303127398441549</v>
      </c>
      <c r="FB179" s="110">
        <f t="shared" si="1354"/>
        <v>0.92386260587536806</v>
      </c>
      <c r="FC179" s="110">
        <f>IF(SeilBeregnet=0,"-",FC$7*(FE:FE+FC$6)*FI:FI*PropF+ErfaringsF+Dyp_F)</f>
        <v>0.67910560127552666</v>
      </c>
      <c r="FD179" s="144" t="str">
        <f t="shared" si="1247"/>
        <v>-</v>
      </c>
      <c r="FE179" s="110">
        <f>(FF:FF+FG:FG+FH:FH)^FE$3+FE$7</f>
        <v>4.4044994838355747</v>
      </c>
      <c r="FF179" s="136">
        <f t="shared" si="1356"/>
        <v>2.5161289000870695</v>
      </c>
      <c r="FG179" s="136">
        <f t="shared" si="1357"/>
        <v>0.62004252397449133</v>
      </c>
      <c r="FH179" s="136">
        <f t="shared" si="1358"/>
        <v>1.7683280597740134</v>
      </c>
      <c r="FI179" s="110">
        <f t="shared" si="1359"/>
        <v>1.6283165284159498</v>
      </c>
      <c r="FJ179" s="110">
        <f>IF(SeilBeregnet=0,"-",FJ$7*(FL:FL+FJ$6)*FO:FO*PropF+ErfaringsF+Dyp_F)</f>
        <v>0.70566034841952585</v>
      </c>
      <c r="FK179" s="144" t="str">
        <f t="shared" si="1248"/>
        <v>-</v>
      </c>
      <c r="FL179" s="110">
        <f>(FM:FM*FN:FN)^FL$3</f>
        <v>4.4493413360322904</v>
      </c>
      <c r="FM179" s="136">
        <f t="shared" si="1361"/>
        <v>2.5161289000870695</v>
      </c>
      <c r="FN179" s="136">
        <f t="shared" si="1362"/>
        <v>1.7683280597740134</v>
      </c>
      <c r="FO179" s="110">
        <f t="shared" si="1363"/>
        <v>1.6283165284159498</v>
      </c>
      <c r="FQ179">
        <v>0.95</v>
      </c>
      <c r="FR179" s="64">
        <f t="shared" si="1249"/>
        <v>0.90216935992551095</v>
      </c>
      <c r="FS179" s="479"/>
      <c r="FT179" s="18"/>
      <c r="FU179" s="481"/>
      <c r="FV179" s="504"/>
      <c r="FW179" s="18"/>
      <c r="FX179" s="18"/>
      <c r="FY179" s="18"/>
      <c r="FZ179" s="18"/>
      <c r="GB179" s="18"/>
      <c r="GC179" s="481"/>
      <c r="GD179" s="8"/>
      <c r="GE179" s="8"/>
      <c r="GF179" s="8"/>
      <c r="GG179" s="8"/>
      <c r="GI179" s="18"/>
      <c r="GJ179" s="18"/>
      <c r="GK179" s="18"/>
      <c r="GL179" s="18"/>
      <c r="GM179" s="18"/>
      <c r="GN179" s="18"/>
      <c r="GO179" s="18"/>
      <c r="GP179" s="18"/>
    </row>
    <row r="180" spans="1:198" ht="15.6" x14ac:dyDescent="0.3">
      <c r="A180" s="54" t="s">
        <v>121</v>
      </c>
      <c r="B180" s="223">
        <f t="shared" ref="B180" si="1482">Loa/0.3048</f>
        <v>43.996062992125985</v>
      </c>
      <c r="C180" s="55" t="s">
        <v>22</v>
      </c>
      <c r="D180" s="55"/>
      <c r="E180" s="55"/>
      <c r="F180" s="55"/>
      <c r="G180" s="56"/>
      <c r="H180" s="209"/>
      <c r="I180" s="126" t="str">
        <f>A180</f>
        <v>NANNA, Tønsberg</v>
      </c>
      <c r="J180" s="229"/>
      <c r="K180" s="119"/>
      <c r="L180" s="119"/>
      <c r="M180" s="95"/>
      <c r="N180" s="265"/>
      <c r="O180" s="169"/>
      <c r="P180" s="169"/>
      <c r="Q180" s="169">
        <v>31</v>
      </c>
      <c r="R180" s="169">
        <v>16.7</v>
      </c>
      <c r="S180" s="169"/>
      <c r="T180" s="169">
        <v>19.8</v>
      </c>
      <c r="U180" s="169">
        <v>63.8</v>
      </c>
      <c r="V180" s="169">
        <v>52.6</v>
      </c>
      <c r="W180" s="169">
        <v>42</v>
      </c>
      <c r="X180" s="169"/>
      <c r="Y180" s="169">
        <v>13.5</v>
      </c>
      <c r="Z180" s="169"/>
      <c r="AA180" s="169"/>
      <c r="AB180" s="169"/>
      <c r="AC180" s="169"/>
      <c r="AD180" s="169"/>
      <c r="AE180" s="270">
        <v>12.3</v>
      </c>
      <c r="AF180" s="296"/>
      <c r="AG180" s="377"/>
      <c r="AH180" s="296"/>
      <c r="AI180" s="377"/>
      <c r="AJ180" s="296" t="s">
        <v>237</v>
      </c>
      <c r="AK180" s="47">
        <f>VLOOKUP(AJ180,Skrogform!$1:$1048576,3,FALSE)</f>
        <v>0.98</v>
      </c>
      <c r="AL180" s="57">
        <v>13.41</v>
      </c>
      <c r="AM180" s="57">
        <v>12</v>
      </c>
      <c r="AN180" s="57">
        <v>4</v>
      </c>
      <c r="AO180" s="57">
        <v>2.2000000000000002</v>
      </c>
      <c r="AP180" s="57">
        <v>18</v>
      </c>
      <c r="AQ180" s="57">
        <v>4</v>
      </c>
      <c r="AR180" s="57">
        <v>2</v>
      </c>
      <c r="AS180" s="281">
        <v>110</v>
      </c>
      <c r="AT180" s="282">
        <v>400</v>
      </c>
      <c r="AU180" s="281">
        <f>ROUND(Depl*10,-2)</f>
        <v>200</v>
      </c>
      <c r="AV180" s="281">
        <f>ROUND(Depl*10,-2)</f>
        <v>200</v>
      </c>
      <c r="AW180" s="270">
        <f>Depl+Diesel/1000+Vann/1000</f>
        <v>18.399999999999999</v>
      </c>
      <c r="AX180" s="281"/>
      <c r="AY180" s="98">
        <f>Bredde/(Loa+Lwl)*2</f>
        <v>0.31483667847304209</v>
      </c>
      <c r="AZ180" s="98">
        <f>(Kjøl+Ballast)/Depl</f>
        <v>0.33333333333333331</v>
      </c>
      <c r="BA180" s="288">
        <f>BA$7*((Depl-Kjøl-Ballast-VektMotor/1000-VektAnnet/1000)/Loa/Lwl/Bredde)</f>
        <v>0.77974767271381507</v>
      </c>
      <c r="BB180" s="98">
        <f>BB$7*(Depl/Loa/Lwl/Lwl)</f>
        <v>0.69995383052549898</v>
      </c>
      <c r="BC180" s="178">
        <f>BC$7*(Depl/Loa/Lwl/Bredde)</f>
        <v>0.77618091699767189</v>
      </c>
      <c r="BD180" s="98">
        <f>BD$7*Bredde/(Loa+Lwl)*2</f>
        <v>0.89813086880535553</v>
      </c>
      <c r="BE180" s="98">
        <f>BE$7*(Dypg/Lwl)</f>
        <v>1.0027536231884058</v>
      </c>
      <c r="BF180" s="58" t="s">
        <v>42</v>
      </c>
      <c r="BG180" s="296">
        <v>3</v>
      </c>
      <c r="BH180" s="296">
        <v>50</v>
      </c>
      <c r="BI180" s="47">
        <f t="shared" si="1370"/>
        <v>0.9850495979846261</v>
      </c>
      <c r="BJ180" s="61"/>
      <c r="BK180" s="61"/>
      <c r="BM180" s="214"/>
      <c r="BN180" s="214" t="str">
        <f>$A180</f>
        <v>NANNA, Tønsberg</v>
      </c>
      <c r="BO180" s="10"/>
      <c r="BP180" s="10"/>
      <c r="BQ180" s="10"/>
      <c r="BR180" s="10"/>
      <c r="BS180" s="52"/>
      <c r="BT180" s="214" t="str">
        <f>$A180</f>
        <v>NANNA, Tønsberg</v>
      </c>
      <c r="BU180" s="10"/>
      <c r="BV180" s="10"/>
      <c r="BW180" s="10"/>
      <c r="BX180" s="10"/>
      <c r="BY180" s="10"/>
      <c r="BZ180" s="10"/>
      <c r="CA180" s="10"/>
      <c r="CB180" s="10"/>
      <c r="CC180" s="10"/>
      <c r="CD180" s="214"/>
      <c r="CE180" s="10"/>
      <c r="CF180" s="214" t="str">
        <f>$A180</f>
        <v>NANNA, Tønsberg</v>
      </c>
      <c r="CG180" s="212"/>
      <c r="CH180" s="212"/>
      <c r="CI180" s="119"/>
      <c r="CJ180" s="212"/>
      <c r="CK180" s="208"/>
      <c r="CL180" s="208" t="s">
        <v>26</v>
      </c>
      <c r="CM180" s="110" t="str">
        <f t="shared" si="1189"/>
        <v>-</v>
      </c>
      <c r="CN180" s="64" t="str">
        <f>IF(SeilBeregnet=0,"-",(SeilBeregnet)^(1/2)*StHfaktor/(Depl+DeplTillegg/1000+Vann/1000+Diesel/1000*0.84)^(1/3))</f>
        <v>-</v>
      </c>
      <c r="CO180" s="64" t="str">
        <f t="shared" si="1140"/>
        <v>-</v>
      </c>
      <c r="CP180" s="64" t="str">
        <f t="shared" si="1141"/>
        <v>-</v>
      </c>
      <c r="CQ180" s="110" t="str">
        <f t="shared" si="1142"/>
        <v>-</v>
      </c>
      <c r="CR180" s="172" t="str">
        <f t="shared" si="1297"/>
        <v>-</v>
      </c>
      <c r="CS180" s="162"/>
      <c r="CT180" s="172" t="str">
        <f t="shared" si="1373"/>
        <v>-</v>
      </c>
      <c r="CU180" s="164">
        <v>1.32</v>
      </c>
      <c r="CV180" s="195" t="s">
        <v>145</v>
      </c>
      <c r="CW180" s="30" t="s">
        <v>26</v>
      </c>
      <c r="CX180" s="30" t="s">
        <v>26</v>
      </c>
      <c r="CY180" s="30" t="s">
        <v>26</v>
      </c>
      <c r="CZ180" s="153">
        <v>2022</v>
      </c>
      <c r="DA180" s="64" t="str">
        <f t="shared" si="1397"/>
        <v>-</v>
      </c>
      <c r="DB180" s="49">
        <f t="shared" si="1398"/>
        <v>12.941176470588237</v>
      </c>
      <c r="DC180" s="50">
        <f t="shared" si="1399"/>
        <v>0</v>
      </c>
      <c r="DE180" s="110" t="str">
        <f>IF(SeilBeregnet=0,"-",DE$7*(DG:DG+DE$6)*DL:DL*PropF+ErfaringsF+Dyp_F)</f>
        <v>-</v>
      </c>
      <c r="DF180" s="144" t="str">
        <f t="shared" si="1161"/>
        <v>-</v>
      </c>
      <c r="DG180" s="110" t="e">
        <f t="shared" si="1400"/>
        <v>#REF!</v>
      </c>
      <c r="DH180" s="136" t="e">
        <f>IF(SeilBeregnet=0,#REF!,(SeilBeregnet^0.5/(Depl^0.3333))^DH$3*DH$7)</f>
        <v>#REF!</v>
      </c>
      <c r="DI180" s="136" t="e">
        <f>IF(SeilBeregnet=0,#REF!,(SeilBeregnet^0.5/Lwl)^DI$3*DI$7)</f>
        <v>#REF!</v>
      </c>
      <c r="DJ180" s="136" t="e">
        <f>IF(SeilBeregnet=0,#REF!,(0.1*Loa/Depl^0.3333)^DJ$3*DJ$7)</f>
        <v>#REF!</v>
      </c>
      <c r="DK180" s="136" t="e">
        <f>IF(SeilBeregnet=0,#REF!,((Loa)/Bredde)^DK$3*DK$7)</f>
        <v>#REF!</v>
      </c>
      <c r="DL180" s="110" t="e">
        <f>IF(SeilBeregnet=0,#REF!,(Lwl)^DL$3)</f>
        <v>#REF!</v>
      </c>
      <c r="DM180" s="136" t="e">
        <f>IF(SeilBeregnet=0,#REF!,(Dypg/Loa)^DM$3*5*DM$7)</f>
        <v>#REF!</v>
      </c>
      <c r="DO180" s="110" t="str">
        <f t="shared" si="733"/>
        <v>-</v>
      </c>
      <c r="DP180" s="110" t="str">
        <f t="shared" si="1401"/>
        <v>-</v>
      </c>
      <c r="DR180" s="110" t="str">
        <f t="shared" si="1402"/>
        <v>-</v>
      </c>
      <c r="DS180" s="125" t="str">
        <f t="shared" si="1162"/>
        <v>-</v>
      </c>
      <c r="DT180" s="110" t="str">
        <f t="shared" si="1403"/>
        <v>-</v>
      </c>
      <c r="DU180" s="125" t="str">
        <f t="shared" si="1163"/>
        <v>-</v>
      </c>
      <c r="DV180" s="110">
        <f t="shared" si="214"/>
        <v>2.5160044560361543</v>
      </c>
      <c r="DW180" s="110">
        <f t="shared" si="215"/>
        <v>1.9155355211546612</v>
      </c>
      <c r="DX180" s="110">
        <f t="shared" si="1341"/>
        <v>1.5596217233315703</v>
      </c>
      <c r="DZ180" s="110" t="str">
        <f t="shared" si="1404"/>
        <v>-</v>
      </c>
      <c r="EB180" s="110">
        <f t="shared" si="217"/>
        <v>2.5160044560361543</v>
      </c>
      <c r="EC180" s="110">
        <f t="shared" si="1342"/>
        <v>1.9156475939903101</v>
      </c>
      <c r="ED180" s="110">
        <f t="shared" si="1343"/>
        <v>1.8085615700443574</v>
      </c>
      <c r="EE180" s="110" t="str">
        <f t="shared" si="1405"/>
        <v>-</v>
      </c>
      <c r="EG180" s="110">
        <f t="shared" si="1344"/>
        <v>3.9240152056330171</v>
      </c>
      <c r="EH180" s="110">
        <f t="shared" si="219"/>
        <v>2.5160044560361543</v>
      </c>
      <c r="EI180" s="110">
        <f t="shared" si="1345"/>
        <v>1.5596217233315703</v>
      </c>
      <c r="EJ180" s="110">
        <f t="shared" si="1346"/>
        <v>1.6283165284159498</v>
      </c>
      <c r="EK180" s="110" t="str">
        <f>IF(SeilBeregnet=0,"-",EK$7*(EK$4*EM:EM+EK$6)*EP:EP*PropF+ErfaringsF+Dyp_F)</f>
        <v>-</v>
      </c>
      <c r="EM180" s="110">
        <f>IF(SeilBeregnet=0,EM179,(EN:EN*EO:EO)^EM$3)</f>
        <v>1.5834211242107183</v>
      </c>
      <c r="EN180" s="110">
        <f t="shared" si="220"/>
        <v>2.5160044560361543</v>
      </c>
      <c r="EO180" s="110">
        <f t="shared" si="1347"/>
        <v>0.99650954535539471</v>
      </c>
      <c r="EP180" s="110">
        <f t="shared" si="1348"/>
        <v>1.6428858497330714</v>
      </c>
      <c r="EQ180" s="110" t="str">
        <f>IF(SeilBeregnet=0,"-",EQ$7*(ES:ES+EQ$6)*EV:EV*PropF+ErfaringsF+Dyp_F)</f>
        <v>-</v>
      </c>
      <c r="ES180" s="110">
        <f>(ET:ET*EU:EU)^ES$3</f>
        <v>1.5834602825083219</v>
      </c>
      <c r="ET180" s="110">
        <f t="shared" si="221"/>
        <v>2.5161289000870695</v>
      </c>
      <c r="EU180" s="110">
        <f t="shared" si="1349"/>
        <v>0.99650954535539471</v>
      </c>
      <c r="EV180" s="110">
        <f t="shared" si="1350"/>
        <v>1.6428858497330714</v>
      </c>
      <c r="EW180" s="110" t="str">
        <f>IF(SeilBeregnet=0,"-",EW$7*(EY:EY+EW$6)*FB:FB*PropF+ErfaringsF+Dyp_F)</f>
        <v>-</v>
      </c>
      <c r="EX180" s="144" t="str">
        <f t="shared" si="1246"/>
        <v>-</v>
      </c>
      <c r="EY180" s="110">
        <f>(EZ:EZ*FA:FA)^EY$3</f>
        <v>2.4985946871624685</v>
      </c>
      <c r="EZ180" s="136">
        <f t="shared" si="1352"/>
        <v>2.5161289000870695</v>
      </c>
      <c r="FA180" s="136">
        <f t="shared" si="1353"/>
        <v>0.99303127398441549</v>
      </c>
      <c r="FB180" s="110">
        <f t="shared" si="1354"/>
        <v>0.92386260587536806</v>
      </c>
      <c r="FC180" s="110" t="str">
        <f>IF(SeilBeregnet=0,"-",FC$7*(FE:FE+FC$6)*FI:FI*PropF+ErfaringsF+Dyp_F)</f>
        <v>-</v>
      </c>
      <c r="FD180" s="144" t="str">
        <f t="shared" si="1247"/>
        <v>-</v>
      </c>
      <c r="FE180" s="110">
        <f>(FF:FF+FG:FG+FH:FH)^FE$3+FE$7</f>
        <v>4.4044994838355747</v>
      </c>
      <c r="FF180" s="136">
        <f t="shared" si="1356"/>
        <v>2.5161289000870695</v>
      </c>
      <c r="FG180" s="136">
        <f t="shared" si="1357"/>
        <v>0.62004252397449133</v>
      </c>
      <c r="FH180" s="136">
        <f t="shared" si="1358"/>
        <v>1.7683280597740134</v>
      </c>
      <c r="FI180" s="110">
        <f t="shared" si="1359"/>
        <v>1.6283165284159498</v>
      </c>
      <c r="FJ180" s="110" t="str">
        <f>IF(SeilBeregnet=0,"-",FJ$7*(FL:FL+FJ$6)*FO:FO*PropF+ErfaringsF+Dyp_F)</f>
        <v>-</v>
      </c>
      <c r="FK180" s="144" t="str">
        <f t="shared" si="1248"/>
        <v>-</v>
      </c>
      <c r="FL180" s="110">
        <f>(FM:FM*FN:FN)^FL$3</f>
        <v>4.4493413360322904</v>
      </c>
      <c r="FM180" s="136">
        <f t="shared" si="1361"/>
        <v>2.5161289000870695</v>
      </c>
      <c r="FN180" s="136">
        <f t="shared" si="1362"/>
        <v>1.7683280597740134</v>
      </c>
      <c r="FO180" s="110">
        <f t="shared" si="1363"/>
        <v>1.6283165284159498</v>
      </c>
      <c r="FQ180">
        <v>0.95</v>
      </c>
      <c r="FR180" s="64" t="str">
        <f t="shared" si="1249"/>
        <v>-</v>
      </c>
      <c r="FS180" s="480"/>
      <c r="FT180" s="59"/>
      <c r="FU180" s="475"/>
      <c r="FV180" s="77"/>
      <c r="FW180" s="59"/>
      <c r="FX180" s="59"/>
      <c r="FY180" s="59"/>
      <c r="FZ180" s="59"/>
      <c r="GB180" s="59" t="s">
        <v>522</v>
      </c>
      <c r="GC180" s="475" t="s">
        <v>522</v>
      </c>
      <c r="GD180" s="60" t="s">
        <v>522</v>
      </c>
      <c r="GE180" s="60" t="s">
        <v>522</v>
      </c>
      <c r="GF180" s="60" t="s">
        <v>522</v>
      </c>
      <c r="GG180" s="60" t="s">
        <v>522</v>
      </c>
      <c r="GI180" s="59"/>
      <c r="GJ180" s="59"/>
      <c r="GK180" s="59"/>
      <c r="GL180" s="59"/>
      <c r="GM180" s="59"/>
      <c r="GN180" s="59"/>
      <c r="GO180" s="59"/>
      <c r="GP180" s="59"/>
    </row>
    <row r="181" spans="1:198" ht="15.6" x14ac:dyDescent="0.3">
      <c r="A181" s="62" t="s">
        <v>31</v>
      </c>
      <c r="B181" s="223"/>
      <c r="C181" s="63" t="str">
        <f>C180</f>
        <v>Gaffel</v>
      </c>
      <c r="D181" s="63"/>
      <c r="E181" s="63"/>
      <c r="F181" s="63"/>
      <c r="G181" s="56"/>
      <c r="H181" s="209">
        <f>TBFavrundet</f>
        <v>107.5</v>
      </c>
      <c r="I181" s="65">
        <f>COUNTA(O181:AD181)</f>
        <v>4</v>
      </c>
      <c r="J181" s="228">
        <f>SUM(O181:AD181)</f>
        <v>128.1</v>
      </c>
      <c r="K181" s="119">
        <f>Seilareal/Depl^0.667/K$7</f>
        <v>1.7036709957727476</v>
      </c>
      <c r="L181" s="119">
        <f>Seilareal/Lwl/Lwl/L$7</f>
        <v>1.3497819351230422</v>
      </c>
      <c r="M181" s="95">
        <f>RiggF</f>
        <v>0.80132708821233423</v>
      </c>
      <c r="N181" s="265">
        <f>StHfaktor</f>
        <v>1.0030913449559995</v>
      </c>
      <c r="O181" s="147"/>
      <c r="P181" s="147"/>
      <c r="Q181" s="169">
        <v>31</v>
      </c>
      <c r="R181" s="147"/>
      <c r="S181" s="147"/>
      <c r="T181" s="169">
        <v>19.8</v>
      </c>
      <c r="U181" s="169">
        <v>63.8</v>
      </c>
      <c r="V181" s="148"/>
      <c r="W181" s="148"/>
      <c r="X181" s="148"/>
      <c r="Y181" s="169">
        <v>13.5</v>
      </c>
      <c r="Z181" s="147"/>
      <c r="AA181" s="147"/>
      <c r="AB181" s="147"/>
      <c r="AC181" s="147"/>
      <c r="AD181" s="148"/>
      <c r="AE181" s="260">
        <f t="shared" ref="AE181" si="1483">AE180</f>
        <v>12.3</v>
      </c>
      <c r="AF181" s="375">
        <f t="shared" ref="AF181:AH185" si="1484" xml:space="preserve"> AF180</f>
        <v>0</v>
      </c>
      <c r="AG181" s="377"/>
      <c r="AH181" s="375">
        <f t="shared" si="1484"/>
        <v>0</v>
      </c>
      <c r="AI181" s="377"/>
      <c r="AJ181" s="295" t="str">
        <f t="shared" ref="AJ181" si="1485" xml:space="preserve"> AJ180</f>
        <v>Lystb</v>
      </c>
      <c r="AK181" s="47">
        <f>VLOOKUP(AJ181,Skrogform!$1:$1048576,3,FALSE)</f>
        <v>0.98</v>
      </c>
      <c r="AL181" s="66">
        <f t="shared" ref="AL181:AT181" si="1486">AL180</f>
        <v>13.41</v>
      </c>
      <c r="AM181" s="66">
        <f t="shared" si="1486"/>
        <v>12</v>
      </c>
      <c r="AN181" s="66">
        <f t="shared" si="1486"/>
        <v>4</v>
      </c>
      <c r="AO181" s="66">
        <f t="shared" si="1486"/>
        <v>2.2000000000000002</v>
      </c>
      <c r="AP181" s="66">
        <f t="shared" si="1486"/>
        <v>18</v>
      </c>
      <c r="AQ181" s="66">
        <f t="shared" si="1486"/>
        <v>4</v>
      </c>
      <c r="AR181" s="66">
        <f t="shared" si="1486"/>
        <v>2</v>
      </c>
      <c r="AS181" s="284">
        <f t="shared" si="1486"/>
        <v>110</v>
      </c>
      <c r="AT181" s="284">
        <f t="shared" si="1486"/>
        <v>400</v>
      </c>
      <c r="AU181" s="284">
        <f t="shared" ref="AU181:AV181" si="1487">AU180</f>
        <v>200</v>
      </c>
      <c r="AV181" s="284">
        <f t="shared" si="1487"/>
        <v>200</v>
      </c>
      <c r="AW181" s="284"/>
      <c r="AX181" s="284">
        <f>AX180</f>
        <v>0</v>
      </c>
      <c r="AY181" s="68"/>
      <c r="AZ181" s="68"/>
      <c r="BA181" s="289"/>
      <c r="BB181" s="68"/>
      <c r="BC181" s="179"/>
      <c r="BD181" s="68"/>
      <c r="BE181" s="68"/>
      <c r="BF181" s="67" t="str">
        <f t="shared" ref="BF181:BH181" si="1488" xml:space="preserve"> BF180</f>
        <v>Fast</v>
      </c>
      <c r="BG181" s="295">
        <f t="shared" si="1488"/>
        <v>3</v>
      </c>
      <c r="BH181" s="295">
        <f t="shared" si="1488"/>
        <v>50</v>
      </c>
      <c r="BI181" s="47">
        <f t="shared" si="1370"/>
        <v>0.9850495979846261</v>
      </c>
      <c r="BJ181" s="61"/>
      <c r="BK181" s="61"/>
      <c r="BM181" s="51">
        <f t="shared" ref="BM181:BR185" si="1489">IF(O181=0,0,O181*BM$9)</f>
        <v>0</v>
      </c>
      <c r="BN181" s="51">
        <f t="shared" si="1489"/>
        <v>0</v>
      </c>
      <c r="BO181" s="51">
        <f t="shared" si="1489"/>
        <v>31</v>
      </c>
      <c r="BP181" s="51">
        <f t="shared" si="1489"/>
        <v>0</v>
      </c>
      <c r="BQ181" s="51">
        <f t="shared" si="1489"/>
        <v>0</v>
      </c>
      <c r="BR181" s="51">
        <f t="shared" si="1489"/>
        <v>19.8</v>
      </c>
      <c r="BS181" s="52">
        <f>IF(COUNT(P181:T181)&gt;1,MINA(P181:T181)*BS$9,0)</f>
        <v>-5.94</v>
      </c>
      <c r="BT181" s="88">
        <f t="shared" ref="BT181:CC185" si="1490">IF(U181=0,0,U181*BT$9)</f>
        <v>51.04</v>
      </c>
      <c r="BU181" s="88">
        <f t="shared" si="1490"/>
        <v>0</v>
      </c>
      <c r="BV181" s="88">
        <f t="shared" si="1490"/>
        <v>0</v>
      </c>
      <c r="BW181" s="88">
        <f t="shared" si="1490"/>
        <v>0</v>
      </c>
      <c r="BX181" s="88">
        <f t="shared" si="1490"/>
        <v>6.75</v>
      </c>
      <c r="BY181" s="88">
        <f t="shared" si="1490"/>
        <v>0</v>
      </c>
      <c r="BZ181" s="88">
        <f t="shared" si="1490"/>
        <v>0</v>
      </c>
      <c r="CA181" s="88">
        <f t="shared" si="1490"/>
        <v>0</v>
      </c>
      <c r="CB181" s="88">
        <f t="shared" si="1490"/>
        <v>0</v>
      </c>
      <c r="CC181" s="88">
        <f t="shared" si="1490"/>
        <v>0</v>
      </c>
      <c r="CD181" s="103">
        <f>SUM(BM181:CC181)</f>
        <v>102.65</v>
      </c>
      <c r="CE181" s="52"/>
      <c r="CF181" s="107">
        <f>J181</f>
        <v>128.1</v>
      </c>
      <c r="CG181" s="104">
        <f>CD181/CF181</f>
        <v>0.80132708821233423</v>
      </c>
      <c r="CH181" s="53">
        <f>Seilareal/Lwl/Lwl</f>
        <v>0.88958333333333328</v>
      </c>
      <c r="CI181" s="119">
        <f>Seilareal/Depl^0.667/K$7</f>
        <v>1.7036709957727476</v>
      </c>
      <c r="CJ181" s="53">
        <f>Seilareal/Lwl/Lwl/SApRS1</f>
        <v>1.3497819351230422</v>
      </c>
      <c r="CK181" s="209"/>
      <c r="CL181" s="209">
        <f>(ROUND(TBF/CL$6,3)*CL$6)*CL$4</f>
        <v>107.5</v>
      </c>
      <c r="CM181" s="110">
        <f t="shared" si="1189"/>
        <v>1.0754161651174845</v>
      </c>
      <c r="CN181" s="64">
        <f>IF(SeilBeregnet=0,"-",(SeilBeregnet)^(1/2)*StHfaktor/(Depl+DeplTillegg/1000+Vann/1000+Diesel/1000*0.84)^(1/3))</f>
        <v>3.8379406178873121</v>
      </c>
      <c r="CO181" s="64">
        <f t="shared" si="1140"/>
        <v>1.7822036920621616</v>
      </c>
      <c r="CP181" s="64">
        <f t="shared" si="1141"/>
        <v>1.8612097182041991</v>
      </c>
      <c r="CQ181" s="110">
        <f t="shared" si="1142"/>
        <v>1.0030913449559995</v>
      </c>
      <c r="CR181" s="172" t="str">
        <f t="shared" si="1297"/>
        <v>-</v>
      </c>
      <c r="CS181" s="163">
        <f>CS180</f>
        <v>0</v>
      </c>
      <c r="CT181" s="172">
        <f t="shared" si="1373"/>
        <v>1.0189473684210528</v>
      </c>
      <c r="CU181" s="163">
        <f>CU180</f>
        <v>1.32</v>
      </c>
      <c r="CV181" s="195" t="s">
        <v>145</v>
      </c>
      <c r="CW181" s="64">
        <v>1.04</v>
      </c>
      <c r="CX181" s="64">
        <v>0.97</v>
      </c>
      <c r="CY181" s="64">
        <v>1.05</v>
      </c>
      <c r="CZ181" s="154">
        <v>1.08</v>
      </c>
      <c r="DA181" s="64">
        <f t="shared" si="1397"/>
        <v>2.0388160736299663</v>
      </c>
      <c r="DB181" s="49">
        <f t="shared" si="1398"/>
        <v>12.941176470588237</v>
      </c>
      <c r="DC181" s="50">
        <f t="shared" si="1399"/>
        <v>0</v>
      </c>
      <c r="DE181" s="110">
        <f>IF(SeilBeregnet=0,"-",DE$7*(DG:DG+DE$6)*DL:DL*PropF+ErfaringsF+Dyp_F)</f>
        <v>1.0549786940710852</v>
      </c>
      <c r="DF181" s="144">
        <f t="shared" si="1161"/>
        <v>-4.2384739722266307</v>
      </c>
      <c r="DG181" s="110">
        <f t="shared" si="1400"/>
        <v>5.6972975992287802</v>
      </c>
      <c r="DH181" s="136">
        <f>IF(SeilBeregnet=0,DH180,(SeilBeregnet^0.5/(Depl^0.3333))^DH$3*DH$7)</f>
        <v>3.866314256868725</v>
      </c>
      <c r="DI181" s="136">
        <f>IF(SeilBeregnet=0,DI180,(SeilBeregnet^0.5/Lwl)^DI$3*DI$7)</f>
        <v>0</v>
      </c>
      <c r="DJ181" s="136">
        <f>IF(SeilBeregnet=0,DJ180,(0.1*Loa/Depl^0.3333)^DJ$3*DJ$7)</f>
        <v>0</v>
      </c>
      <c r="DK181" s="136">
        <f>IF(SeilBeregnet=0,DK180,((Loa)/Bredde)^DK$3*DK$7)</f>
        <v>1.8309833423600554</v>
      </c>
      <c r="DL181" s="110">
        <f>IF(SeilBeregnet=0,DL180,(Lwl)^DL$3)</f>
        <v>1.8612097182041991</v>
      </c>
      <c r="DM181" s="136">
        <f>IF(SeilBeregnet=0,DM180,(Dypg/Loa)^DM$3*5*DM$7)</f>
        <v>2.0251955098445942</v>
      </c>
      <c r="DO181" s="110">
        <f t="shared" si="733"/>
        <v>1.0973634337933516</v>
      </c>
      <c r="DP181" s="110">
        <f t="shared" si="1401"/>
        <v>1.0418084715099849</v>
      </c>
      <c r="DQ181" s="125">
        <f>DP181-DO181</f>
        <v>-5.5554962283366649E-2</v>
      </c>
      <c r="DR181" s="110">
        <f t="shared" si="1402"/>
        <v>1.0266002521324629</v>
      </c>
      <c r="DS181" s="125">
        <f t="shared" si="1162"/>
        <v>-7.0763181660888685E-2</v>
      </c>
      <c r="DT181" s="110">
        <f t="shared" si="1403"/>
        <v>1.0929265347308597</v>
      </c>
      <c r="DU181" s="125">
        <f t="shared" si="1163"/>
        <v>-4.4368990624918947E-3</v>
      </c>
      <c r="DV181" s="110">
        <f t="shared" si="214"/>
        <v>3.8659790188373164</v>
      </c>
      <c r="DW181" s="110">
        <f t="shared" si="215"/>
        <v>2.2892388590912591</v>
      </c>
      <c r="DX181" s="110">
        <f t="shared" si="1341"/>
        <v>1.5875820080316205</v>
      </c>
      <c r="DZ181" s="110">
        <f t="shared" si="1404"/>
        <v>1.0782797549202578</v>
      </c>
      <c r="EB181" s="110">
        <f t="shared" si="217"/>
        <v>3.8659790188373164</v>
      </c>
      <c r="EC181" s="110">
        <f t="shared" si="1342"/>
        <v>2.2894095217983113</v>
      </c>
      <c r="ED181" s="110">
        <f t="shared" si="1343"/>
        <v>1.8519167499625264</v>
      </c>
      <c r="EE181" s="110">
        <f t="shared" si="1405"/>
        <v>1.0740902313113523</v>
      </c>
      <c r="EG181" s="110">
        <f t="shared" si="1344"/>
        <v>6.1375587337338606</v>
      </c>
      <c r="EH181" s="110">
        <f t="shared" si="219"/>
        <v>3.8659790188373164</v>
      </c>
      <c r="EI181" s="110">
        <f t="shared" si="1345"/>
        <v>1.5875820080316205</v>
      </c>
      <c r="EJ181" s="110">
        <f t="shared" si="1346"/>
        <v>1.8612097182041991</v>
      </c>
      <c r="EK181" s="110">
        <f>IF(SeilBeregnet=0,"-",EK$7*(EK$4*EM:EM+EK$6)*EP:EP*PropF+ErfaringsF+Dyp_F)</f>
        <v>1.0628894339502259</v>
      </c>
      <c r="EM181" s="110">
        <f>IF(SeilBeregnet=0,EM180,(EN:EN*EO:EO)^EM$3)</f>
        <v>1.9802905922681484</v>
      </c>
      <c r="EN181" s="110">
        <f t="shared" si="220"/>
        <v>3.8659790188373164</v>
      </c>
      <c r="EO181" s="110">
        <f t="shared" si="1347"/>
        <v>1.0143745764572543</v>
      </c>
      <c r="EP181" s="110">
        <f t="shared" si="1348"/>
        <v>1.8773991690387828</v>
      </c>
      <c r="EQ181" s="110">
        <f>IF(SeilBeregnet=0,"-",EQ$7*(ES:ES+EQ$6)*EV:EV*PropF+ErfaringsF+Dyp_F)</f>
        <v>1.0021677789534877</v>
      </c>
      <c r="ES181" s="110">
        <f>(ET:ET*EU:EU)^ES$3</f>
        <v>1.9803764507693624</v>
      </c>
      <c r="ET181" s="110">
        <f t="shared" si="221"/>
        <v>3.866314256868725</v>
      </c>
      <c r="EU181" s="110">
        <f t="shared" si="1349"/>
        <v>1.0143745764572543</v>
      </c>
      <c r="EV181" s="110">
        <f t="shared" si="1350"/>
        <v>1.8773991690387828</v>
      </c>
      <c r="EW181" s="110">
        <f>IF(SeilBeregnet=0,"-",EW$7*(EY:EY+EW$6)*FB:FB*PropF+ErfaringsF+Dyp_F)</f>
        <v>1.0631293163871229</v>
      </c>
      <c r="EX181" s="144">
        <f t="shared" si="1246"/>
        <v>-3.4234117406228615</v>
      </c>
      <c r="EY181" s="110">
        <f>(EZ:EZ*FA:FA)^EY$3</f>
        <v>3.9782664071706231</v>
      </c>
      <c r="EZ181" s="136">
        <f t="shared" si="1352"/>
        <v>3.866314256868725</v>
      </c>
      <c r="FA181" s="136">
        <f t="shared" si="1353"/>
        <v>1.0289557813628338</v>
      </c>
      <c r="FB181" s="110">
        <f t="shared" si="1354"/>
        <v>1.0557391366285294</v>
      </c>
      <c r="FC181" s="110">
        <f>IF(SeilBeregnet=0,"-",FC$7*(FE:FE+FC$6)*FI:FI*PropF+ErfaringsF+Dyp_F)</f>
        <v>1.063350990155904</v>
      </c>
      <c r="FD181" s="144">
        <f t="shared" si="1247"/>
        <v>-3.4012443637447598</v>
      </c>
      <c r="FE181" s="110">
        <f>(FF:FF+FG:FG+FH:FH)^FE$3+FE$7</f>
        <v>6.0416004016771812</v>
      </c>
      <c r="FF181" s="136">
        <f t="shared" si="1356"/>
        <v>3.866314256868725</v>
      </c>
      <c r="FG181" s="136">
        <f t="shared" si="1357"/>
        <v>0.84430280244840017</v>
      </c>
      <c r="FH181" s="136">
        <f t="shared" si="1358"/>
        <v>1.8309833423600554</v>
      </c>
      <c r="FI181" s="110">
        <f t="shared" si="1359"/>
        <v>1.8612097182041991</v>
      </c>
      <c r="FJ181" s="110">
        <f>IF(SeilBeregnet=0,"-",FJ$7*(FL:FL+FJ$6)*FO:FO*PropF+ErfaringsF+Dyp_F)</f>
        <v>1.056242090845009</v>
      </c>
      <c r="FK181" s="144">
        <f t="shared" si="1248"/>
        <v>-4.1121342948342576</v>
      </c>
      <c r="FL181" s="110">
        <f>(FM:FM*FN:FN)^FL$3</f>
        <v>7.0791570006558322</v>
      </c>
      <c r="FM181" s="136">
        <f t="shared" si="1361"/>
        <v>3.866314256868725</v>
      </c>
      <c r="FN181" s="136">
        <f t="shared" si="1362"/>
        <v>1.8309833423600554</v>
      </c>
      <c r="FO181" s="110">
        <f t="shared" si="1363"/>
        <v>1.8612097182041991</v>
      </c>
      <c r="FQ181">
        <v>0.95</v>
      </c>
      <c r="FR181" s="64">
        <f t="shared" si="1249"/>
        <v>1.2770558335638174</v>
      </c>
      <c r="FS181" s="479"/>
      <c r="FT181" s="18"/>
      <c r="FU181" s="481"/>
      <c r="FV181" s="504"/>
      <c r="FW181" s="18"/>
      <c r="FX181" s="18"/>
      <c r="FY181" s="18"/>
      <c r="FZ181" s="18"/>
      <c r="GB181" s="18"/>
      <c r="GC181" s="481"/>
      <c r="GD181" s="8"/>
      <c r="GE181" s="8"/>
      <c r="GF181" s="8"/>
      <c r="GG181" s="8"/>
      <c r="GI181" s="18"/>
      <c r="GJ181" s="18"/>
      <c r="GK181" s="18"/>
      <c r="GL181" s="18"/>
      <c r="GM181" s="18"/>
      <c r="GN181" s="18"/>
      <c r="GO181" s="18"/>
      <c r="GP181" s="18"/>
    </row>
    <row r="182" spans="1:198" ht="15.6" x14ac:dyDescent="0.3">
      <c r="A182" s="62" t="s">
        <v>32</v>
      </c>
      <c r="B182" s="223"/>
      <c r="C182" s="14" t="str">
        <f>C180</f>
        <v>Gaffel</v>
      </c>
      <c r="G182" s="56"/>
      <c r="H182" s="209">
        <f>TBFavrundet</f>
        <v>105</v>
      </c>
      <c r="I182" s="65">
        <f>COUNTA(O182:AD182)</f>
        <v>3</v>
      </c>
      <c r="J182" s="228">
        <f>SUM(O182:AD182)</f>
        <v>114.6</v>
      </c>
      <c r="K182" s="119">
        <f>Seilareal/Depl^0.667/K$7</f>
        <v>1.5241272140168376</v>
      </c>
      <c r="L182" s="119">
        <f>Seilareal/Lwl/Lwl/L$7</f>
        <v>1.2075332534356022</v>
      </c>
      <c r="M182" s="95">
        <f>RiggF</f>
        <v>0.83682373472949401</v>
      </c>
      <c r="N182" s="265">
        <f>StHfaktor</f>
        <v>1.0030913449559995</v>
      </c>
      <c r="O182" s="147"/>
      <c r="P182" s="147"/>
      <c r="Q182" s="169">
        <v>31</v>
      </c>
      <c r="R182" s="147"/>
      <c r="S182" s="147"/>
      <c r="T182" s="169">
        <v>19.8</v>
      </c>
      <c r="U182" s="169">
        <v>63.8</v>
      </c>
      <c r="V182" s="148"/>
      <c r="W182" s="148"/>
      <c r="X182" s="148"/>
      <c r="Y182" s="147"/>
      <c r="Z182" s="147"/>
      <c r="AA182" s="147"/>
      <c r="AB182" s="147"/>
      <c r="AC182" s="147"/>
      <c r="AD182" s="148"/>
      <c r="AE182" s="260">
        <f t="shared" ref="AE182" si="1491">AE181</f>
        <v>12.3</v>
      </c>
      <c r="AF182" s="375">
        <f t="shared" si="1484"/>
        <v>0</v>
      </c>
      <c r="AG182" s="377"/>
      <c r="AH182" s="375">
        <f t="shared" si="1484"/>
        <v>0</v>
      </c>
      <c r="AI182" s="377"/>
      <c r="AJ182" s="295" t="str">
        <f t="shared" ref="AJ182" si="1492" xml:space="preserve"> AJ181</f>
        <v>Lystb</v>
      </c>
      <c r="AK182" s="47">
        <f>VLOOKUP(AJ182,Skrogform!$1:$1048576,3,FALSE)</f>
        <v>0.98</v>
      </c>
      <c r="AL182" s="66">
        <f t="shared" ref="AL182:AT182" si="1493">AL181</f>
        <v>13.41</v>
      </c>
      <c r="AM182" s="66">
        <f t="shared" si="1493"/>
        <v>12</v>
      </c>
      <c r="AN182" s="66">
        <f t="shared" si="1493"/>
        <v>4</v>
      </c>
      <c r="AO182" s="66">
        <f t="shared" si="1493"/>
        <v>2.2000000000000002</v>
      </c>
      <c r="AP182" s="66">
        <f t="shared" si="1493"/>
        <v>18</v>
      </c>
      <c r="AQ182" s="66">
        <f t="shared" si="1493"/>
        <v>4</v>
      </c>
      <c r="AR182" s="66">
        <f t="shared" si="1493"/>
        <v>2</v>
      </c>
      <c r="AS182" s="284">
        <f t="shared" si="1493"/>
        <v>110</v>
      </c>
      <c r="AT182" s="284">
        <f t="shared" si="1493"/>
        <v>400</v>
      </c>
      <c r="AU182" s="284">
        <f t="shared" ref="AU182:AV182" si="1494">AU181</f>
        <v>200</v>
      </c>
      <c r="AV182" s="284">
        <f t="shared" si="1494"/>
        <v>200</v>
      </c>
      <c r="AW182" s="284"/>
      <c r="AX182" s="284">
        <f>AX181</f>
        <v>0</v>
      </c>
      <c r="AY182" s="68"/>
      <c r="AZ182" s="68"/>
      <c r="BA182" s="289"/>
      <c r="BB182" s="68"/>
      <c r="BC182" s="179"/>
      <c r="BD182" s="68"/>
      <c r="BE182" s="68"/>
      <c r="BF182" s="67" t="str">
        <f t="shared" ref="BF182:BH182" si="1495" xml:space="preserve"> BF181</f>
        <v>Fast</v>
      </c>
      <c r="BG182" s="295">
        <f t="shared" si="1495"/>
        <v>3</v>
      </c>
      <c r="BH182" s="295">
        <f t="shared" si="1495"/>
        <v>50</v>
      </c>
      <c r="BI182" s="47">
        <f t="shared" si="1370"/>
        <v>0.9850495979846261</v>
      </c>
      <c r="BJ182" s="61"/>
      <c r="BK182" s="61"/>
      <c r="BM182" s="51">
        <f t="shared" si="1489"/>
        <v>0</v>
      </c>
      <c r="BN182" s="51">
        <f t="shared" si="1489"/>
        <v>0</v>
      </c>
      <c r="BO182" s="51">
        <f t="shared" si="1489"/>
        <v>31</v>
      </c>
      <c r="BP182" s="51">
        <f t="shared" si="1489"/>
        <v>0</v>
      </c>
      <c r="BQ182" s="51">
        <f t="shared" si="1489"/>
        <v>0</v>
      </c>
      <c r="BR182" s="51">
        <f t="shared" si="1489"/>
        <v>19.8</v>
      </c>
      <c r="BS182" s="52">
        <f>IF(COUNT(P182:T182)&gt;1,MINA(P182:T182)*BS$9,0)</f>
        <v>-5.94</v>
      </c>
      <c r="BT182" s="88">
        <f t="shared" si="1490"/>
        <v>51.04</v>
      </c>
      <c r="BU182" s="88">
        <f t="shared" si="1490"/>
        <v>0</v>
      </c>
      <c r="BV182" s="88">
        <f t="shared" si="1490"/>
        <v>0</v>
      </c>
      <c r="BW182" s="88">
        <f t="shared" si="1490"/>
        <v>0</v>
      </c>
      <c r="BX182" s="88">
        <f t="shared" si="1490"/>
        <v>0</v>
      </c>
      <c r="BY182" s="88">
        <f t="shared" si="1490"/>
        <v>0</v>
      </c>
      <c r="BZ182" s="88">
        <f t="shared" si="1490"/>
        <v>0</v>
      </c>
      <c r="CA182" s="88">
        <f t="shared" si="1490"/>
        <v>0</v>
      </c>
      <c r="CB182" s="88">
        <f t="shared" si="1490"/>
        <v>0</v>
      </c>
      <c r="CC182" s="88">
        <f t="shared" si="1490"/>
        <v>0</v>
      </c>
      <c r="CD182" s="103">
        <f>SUM(BM182:CC182)</f>
        <v>95.9</v>
      </c>
      <c r="CE182" s="52"/>
      <c r="CF182" s="107">
        <f>J182</f>
        <v>114.6</v>
      </c>
      <c r="CG182" s="104">
        <f>CD182/CF182</f>
        <v>0.83682373472949401</v>
      </c>
      <c r="CH182" s="53">
        <f>Seilareal/Lwl/Lwl</f>
        <v>0.79583333333333328</v>
      </c>
      <c r="CI182" s="119">
        <f>Seilareal/Depl^0.667/K$7</f>
        <v>1.5241272140168376</v>
      </c>
      <c r="CJ182" s="53">
        <f>Seilareal/Lwl/Lwl/SApRS1</f>
        <v>1.2075332534356022</v>
      </c>
      <c r="CK182" s="209"/>
      <c r="CL182" s="209">
        <f>(ROUND(TBF/CL$6,3)*CL$6)*CL$4</f>
        <v>105</v>
      </c>
      <c r="CM182" s="110">
        <f t="shared" si="1189"/>
        <v>1.0508597782835711</v>
      </c>
      <c r="CN182" s="64">
        <f>IF(SeilBeregnet=0,"-",(SeilBeregnet)^(1/2)*StHfaktor/(Depl+DeplTillegg/1000+Vann/1000+Diesel/1000*0.84)^(1/3))</f>
        <v>3.7096084965987508</v>
      </c>
      <c r="CO182" s="64">
        <f t="shared" si="1140"/>
        <v>1.7822036920621616</v>
      </c>
      <c r="CP182" s="64">
        <f t="shared" si="1141"/>
        <v>1.8612097182041991</v>
      </c>
      <c r="CQ182" s="110">
        <f t="shared" si="1142"/>
        <v>1.0030913449559995</v>
      </c>
      <c r="CR182" s="172" t="str">
        <f t="shared" si="1297"/>
        <v>-</v>
      </c>
      <c r="CS182" s="162"/>
      <c r="CT182" s="172" t="str">
        <f t="shared" si="1373"/>
        <v>-</v>
      </c>
      <c r="CU182" s="164"/>
      <c r="CV182" s="195" t="s">
        <v>145</v>
      </c>
      <c r="CW182" s="64">
        <v>1.02</v>
      </c>
      <c r="CX182" s="64">
        <v>0.95</v>
      </c>
      <c r="CY182" s="64">
        <v>1.02</v>
      </c>
      <c r="CZ182" s="154">
        <v>1.06</v>
      </c>
      <c r="DA182" s="64">
        <f t="shared" si="1397"/>
        <v>2.0388160736299663</v>
      </c>
      <c r="DB182" s="49">
        <f t="shared" si="1398"/>
        <v>12.941176470588237</v>
      </c>
      <c r="DC182" s="50">
        <f t="shared" si="1399"/>
        <v>0</v>
      </c>
      <c r="DE182" s="110">
        <f>IF(SeilBeregnet=0,"-",DE$7*(DG:DG+DE$6)*DL:DL*PropF+ErfaringsF+Dyp_F)</f>
        <v>1.0310395258528224</v>
      </c>
      <c r="DF182" s="144" t="str">
        <f t="shared" si="1161"/>
        <v>-</v>
      </c>
      <c r="DG182" s="110">
        <f t="shared" si="1400"/>
        <v>5.5680167271278194</v>
      </c>
      <c r="DH182" s="136">
        <f>IF(SeilBeregnet=0,DH181,(SeilBeregnet^0.5/(Depl^0.3333))^DH$3*DH$7)</f>
        <v>3.7370333847677641</v>
      </c>
      <c r="DI182" s="136">
        <f>IF(SeilBeregnet=0,DI181,(SeilBeregnet^0.5/Lwl)^DI$3*DI$7)</f>
        <v>0</v>
      </c>
      <c r="DJ182" s="136">
        <f>IF(SeilBeregnet=0,DJ181,(0.1*Loa/Depl^0.3333)^DJ$3*DJ$7)</f>
        <v>0</v>
      </c>
      <c r="DK182" s="136">
        <f>IF(SeilBeregnet=0,DK181,((Loa)/Bredde)^DK$3*DK$7)</f>
        <v>1.8309833423600554</v>
      </c>
      <c r="DL182" s="110">
        <f>IF(SeilBeregnet=0,DL181,(Lwl)^DL$3)</f>
        <v>1.8612097182041991</v>
      </c>
      <c r="DM182" s="136">
        <f>IF(SeilBeregnet=0,DM181,(Dypg/Loa)^DM$3*5*DM$7)</f>
        <v>2.0251955098445942</v>
      </c>
      <c r="DO182" s="110">
        <f t="shared" si="733"/>
        <v>1.0723058962077257</v>
      </c>
      <c r="DP182" s="110">
        <f t="shared" si="1401"/>
        <v>1.0135703937942633</v>
      </c>
      <c r="DR182" s="110">
        <f t="shared" si="1402"/>
        <v>1.0035056935942357</v>
      </c>
      <c r="DS182" s="125" t="str">
        <f t="shared" si="1162"/>
        <v>-</v>
      </c>
      <c r="DT182" s="110">
        <f t="shared" si="1403"/>
        <v>1.0639250979634804</v>
      </c>
      <c r="DU182" s="125" t="str">
        <f t="shared" si="1163"/>
        <v>-</v>
      </c>
      <c r="DV182" s="110">
        <f t="shared" si="214"/>
        <v>3.7367093563437965</v>
      </c>
      <c r="DW182" s="110">
        <f t="shared" si="215"/>
        <v>2.2892388590912591</v>
      </c>
      <c r="DX182" s="110">
        <f t="shared" si="1341"/>
        <v>1.5875820080316205</v>
      </c>
      <c r="DZ182" s="110">
        <f t="shared" si="1404"/>
        <v>1.0519929639123848</v>
      </c>
      <c r="EB182" s="110">
        <f t="shared" si="217"/>
        <v>3.7367093563437965</v>
      </c>
      <c r="EC182" s="110">
        <f t="shared" si="1342"/>
        <v>2.2894095217983113</v>
      </c>
      <c r="ED182" s="110">
        <f t="shared" si="1343"/>
        <v>1.8519167499625264</v>
      </c>
      <c r="EE182" s="110">
        <f t="shared" si="1405"/>
        <v>1.047002077052005</v>
      </c>
      <c r="EG182" s="110">
        <f t="shared" si="1344"/>
        <v>5.9323325433748284</v>
      </c>
      <c r="EH182" s="110">
        <f t="shared" si="219"/>
        <v>3.7367093563437965</v>
      </c>
      <c r="EI182" s="110">
        <f t="shared" si="1345"/>
        <v>1.5875820080316205</v>
      </c>
      <c r="EJ182" s="110">
        <f t="shared" si="1346"/>
        <v>1.8612097182041991</v>
      </c>
      <c r="EK182" s="110">
        <f>IF(SeilBeregnet=0,"-",EK$7*(EK$4*EM:EM+EK$6)*EP:EP*PropF+ErfaringsF+Dyp_F)</f>
        <v>1.0389146883593867</v>
      </c>
      <c r="EM182" s="110">
        <f>IF(SeilBeregnet=0,EM181,(EN:EN*EO:EO)^EM$3)</f>
        <v>1.9469008630860221</v>
      </c>
      <c r="EN182" s="110">
        <f t="shared" si="220"/>
        <v>3.7367093563437965</v>
      </c>
      <c r="EO182" s="110">
        <f t="shared" si="1347"/>
        <v>1.0143745764572543</v>
      </c>
      <c r="EP182" s="110">
        <f t="shared" si="1348"/>
        <v>1.8773991690387828</v>
      </c>
      <c r="EQ182" s="110">
        <f>IF(SeilBeregnet=0,"-",EQ$7*(ES:ES+EQ$6)*EV:EV*PropF+ErfaringsF+Dyp_F)</f>
        <v>0.98527020297905266</v>
      </c>
      <c r="ES182" s="110">
        <f>(ET:ET*EU:EU)^ES$3</f>
        <v>1.9469852739249005</v>
      </c>
      <c r="ET182" s="110">
        <f t="shared" si="221"/>
        <v>3.7370333847677641</v>
      </c>
      <c r="EU182" s="110">
        <f t="shared" si="1349"/>
        <v>1.0143745764572543</v>
      </c>
      <c r="EV182" s="110">
        <f t="shared" si="1350"/>
        <v>1.8773991690387828</v>
      </c>
      <c r="EW182" s="110">
        <f>IF(SeilBeregnet=0,"-",EW$7*(EY:EY+EW$6)*FB:FB*PropF+ErfaringsF+Dyp_F)</f>
        <v>1.0394732889861633</v>
      </c>
      <c r="EX182" s="144" t="str">
        <f t="shared" si="1246"/>
        <v>-</v>
      </c>
      <c r="EY182" s="110">
        <f>(EZ:EZ*FA:FA)^EY$3</f>
        <v>3.8452421064027105</v>
      </c>
      <c r="EZ182" s="136">
        <f t="shared" si="1352"/>
        <v>3.7370333847677641</v>
      </c>
      <c r="FA182" s="136">
        <f t="shared" si="1353"/>
        <v>1.0289557813628338</v>
      </c>
      <c r="FB182" s="110">
        <f t="shared" si="1354"/>
        <v>1.0557391366285294</v>
      </c>
      <c r="FC182" s="110">
        <f>IF(SeilBeregnet=0,"-",FC$7*(FE:FE+FC$6)*FI:FI*PropF+ErfaringsF+Dyp_F)</f>
        <v>1.0356280322605229</v>
      </c>
      <c r="FD182" s="144" t="str">
        <f t="shared" si="1247"/>
        <v>-</v>
      </c>
      <c r="FE182" s="110">
        <f>(FF:FF+FG:FG+FH:FH)^FE$3+FE$7</f>
        <v>5.8840879386174922</v>
      </c>
      <c r="FF182" s="136">
        <f t="shared" si="1356"/>
        <v>3.7370333847677641</v>
      </c>
      <c r="FG182" s="136">
        <f t="shared" si="1357"/>
        <v>0.81607121148967277</v>
      </c>
      <c r="FH182" s="136">
        <f t="shared" si="1358"/>
        <v>1.8309833423600554</v>
      </c>
      <c r="FI182" s="110">
        <f t="shared" si="1359"/>
        <v>1.8612097182041991</v>
      </c>
      <c r="FJ182" s="110">
        <f>IF(SeilBeregnet=0,"-",FJ$7*(FL:FL+FJ$6)*FO:FO*PropF+ErfaringsF+Dyp_F)</f>
        <v>1.0336750081880297</v>
      </c>
      <c r="FK182" s="144" t="str">
        <f t="shared" si="1248"/>
        <v>-</v>
      </c>
      <c r="FL182" s="110">
        <f>(FM:FM*FN:FN)^FL$3</f>
        <v>6.8424458773531915</v>
      </c>
      <c r="FM182" s="136">
        <f t="shared" si="1361"/>
        <v>3.7370333847677641</v>
      </c>
      <c r="FN182" s="136">
        <f t="shared" si="1362"/>
        <v>1.8309833423600554</v>
      </c>
      <c r="FO182" s="110">
        <f t="shared" si="1363"/>
        <v>1.8612097182041991</v>
      </c>
      <c r="FQ182">
        <v>0.95</v>
      </c>
      <c r="FR182" s="64">
        <f t="shared" si="1249"/>
        <v>1.2556778994297806</v>
      </c>
      <c r="FS182" s="479"/>
      <c r="FT182" s="18"/>
      <c r="FU182" s="481"/>
      <c r="FV182" s="504"/>
      <c r="FW182" s="18"/>
      <c r="FX182" s="18"/>
      <c r="FY182" s="18"/>
      <c r="FZ182" s="18"/>
      <c r="GB182" s="18"/>
      <c r="GC182" s="481"/>
      <c r="GD182" s="8"/>
      <c r="GE182" s="8"/>
      <c r="GF182" s="8"/>
      <c r="GG182" s="8"/>
      <c r="GI182" s="18"/>
      <c r="GJ182" s="18"/>
      <c r="GK182" s="18"/>
      <c r="GL182" s="18"/>
      <c r="GM182" s="18"/>
      <c r="GN182" s="18"/>
      <c r="GO182" s="18"/>
      <c r="GP182" s="18"/>
    </row>
    <row r="183" spans="1:198" ht="15.6" x14ac:dyDescent="0.3">
      <c r="A183" s="62" t="s">
        <v>33</v>
      </c>
      <c r="B183" s="223"/>
      <c r="C183" s="14" t="str">
        <f>C181</f>
        <v>Gaffel</v>
      </c>
      <c r="G183" s="56"/>
      <c r="H183" s="209">
        <f>TBFavrundet</f>
        <v>100</v>
      </c>
      <c r="I183" s="65">
        <f>COUNTA(O183:AD183)</f>
        <v>3</v>
      </c>
      <c r="J183" s="228">
        <f>SUM(O183:AD183)</f>
        <v>100.3</v>
      </c>
      <c r="K183" s="119">
        <f>Seilareal/Depl^0.667/K$7</f>
        <v>1.3339438007494659</v>
      </c>
      <c r="L183" s="119">
        <f>Seilareal/Lwl/Lwl/L$7</f>
        <v>1.0568550202407583</v>
      </c>
      <c r="M183" s="95">
        <f>RiggF</f>
        <v>0.82283150548354944</v>
      </c>
      <c r="N183" s="265">
        <f>StHfaktor</f>
        <v>1.0030913449559995</v>
      </c>
      <c r="O183" s="147"/>
      <c r="P183" s="147"/>
      <c r="Q183" s="147"/>
      <c r="R183" s="169">
        <v>16.7</v>
      </c>
      <c r="S183" s="147"/>
      <c r="T183" s="169">
        <v>19.8</v>
      </c>
      <c r="U183" s="169">
        <v>63.8</v>
      </c>
      <c r="V183" s="148"/>
      <c r="W183" s="148"/>
      <c r="X183" s="148"/>
      <c r="Y183" s="147"/>
      <c r="Z183" s="147"/>
      <c r="AA183" s="147"/>
      <c r="AB183" s="147"/>
      <c r="AC183" s="147"/>
      <c r="AD183" s="148"/>
      <c r="AE183" s="260">
        <f t="shared" ref="AE183" si="1496">AE182</f>
        <v>12.3</v>
      </c>
      <c r="AF183" s="375">
        <f t="shared" si="1484"/>
        <v>0</v>
      </c>
      <c r="AG183" s="377"/>
      <c r="AH183" s="375">
        <f t="shared" si="1484"/>
        <v>0</v>
      </c>
      <c r="AI183" s="377"/>
      <c r="AJ183" s="295" t="str">
        <f t="shared" ref="AJ183" si="1497" xml:space="preserve"> AJ182</f>
        <v>Lystb</v>
      </c>
      <c r="AK183" s="47">
        <f>VLOOKUP(AJ183,Skrogform!$1:$1048576,3,FALSE)</f>
        <v>0.98</v>
      </c>
      <c r="AL183" s="66">
        <f t="shared" ref="AL183:AT183" si="1498">AL182</f>
        <v>13.41</v>
      </c>
      <c r="AM183" s="66">
        <f t="shared" si="1498"/>
        <v>12</v>
      </c>
      <c r="AN183" s="66">
        <f t="shared" si="1498"/>
        <v>4</v>
      </c>
      <c r="AO183" s="66">
        <f t="shared" si="1498"/>
        <v>2.2000000000000002</v>
      </c>
      <c r="AP183" s="66">
        <f t="shared" si="1498"/>
        <v>18</v>
      </c>
      <c r="AQ183" s="66">
        <f t="shared" si="1498"/>
        <v>4</v>
      </c>
      <c r="AR183" s="66">
        <f t="shared" si="1498"/>
        <v>2</v>
      </c>
      <c r="AS183" s="284">
        <f t="shared" si="1498"/>
        <v>110</v>
      </c>
      <c r="AT183" s="284">
        <f t="shared" si="1498"/>
        <v>400</v>
      </c>
      <c r="AU183" s="284">
        <f t="shared" ref="AU183:AV183" si="1499">AU182</f>
        <v>200</v>
      </c>
      <c r="AV183" s="284">
        <f t="shared" si="1499"/>
        <v>200</v>
      </c>
      <c r="AW183" s="284"/>
      <c r="AX183" s="284">
        <f>AX182</f>
        <v>0</v>
      </c>
      <c r="AY183" s="68"/>
      <c r="AZ183" s="68"/>
      <c r="BA183" s="289"/>
      <c r="BB183" s="68"/>
      <c r="BC183" s="179"/>
      <c r="BD183" s="68"/>
      <c r="BE183" s="68"/>
      <c r="BF183" s="67" t="str">
        <f t="shared" ref="BF183:BH183" si="1500" xml:space="preserve"> BF182</f>
        <v>Fast</v>
      </c>
      <c r="BG183" s="295">
        <f t="shared" si="1500"/>
        <v>3</v>
      </c>
      <c r="BH183" s="295">
        <f t="shared" si="1500"/>
        <v>50</v>
      </c>
      <c r="BI183" s="47">
        <f t="shared" si="1370"/>
        <v>0.9850495979846261</v>
      </c>
      <c r="BJ183" s="61"/>
      <c r="BK183" s="61"/>
      <c r="BM183" s="51">
        <f t="shared" si="1489"/>
        <v>0</v>
      </c>
      <c r="BN183" s="51">
        <f t="shared" si="1489"/>
        <v>0</v>
      </c>
      <c r="BO183" s="51">
        <f t="shared" si="1489"/>
        <v>0</v>
      </c>
      <c r="BP183" s="51">
        <f t="shared" si="1489"/>
        <v>16.7</v>
      </c>
      <c r="BQ183" s="51">
        <f t="shared" si="1489"/>
        <v>0</v>
      </c>
      <c r="BR183" s="51">
        <f t="shared" si="1489"/>
        <v>19.8</v>
      </c>
      <c r="BS183" s="52">
        <f>IF(COUNT(P183:T183)&gt;1,MINA(P183:T183)*BS$9,0)</f>
        <v>-5.01</v>
      </c>
      <c r="BT183" s="88">
        <f t="shared" si="1490"/>
        <v>51.04</v>
      </c>
      <c r="BU183" s="88">
        <f t="shared" si="1490"/>
        <v>0</v>
      </c>
      <c r="BV183" s="88">
        <f t="shared" si="1490"/>
        <v>0</v>
      </c>
      <c r="BW183" s="88">
        <f t="shared" si="1490"/>
        <v>0</v>
      </c>
      <c r="BX183" s="88">
        <f t="shared" si="1490"/>
        <v>0</v>
      </c>
      <c r="BY183" s="88">
        <f t="shared" si="1490"/>
        <v>0</v>
      </c>
      <c r="BZ183" s="88">
        <f t="shared" si="1490"/>
        <v>0</v>
      </c>
      <c r="CA183" s="88">
        <f t="shared" si="1490"/>
        <v>0</v>
      </c>
      <c r="CB183" s="88">
        <f t="shared" si="1490"/>
        <v>0</v>
      </c>
      <c r="CC183" s="88">
        <f t="shared" si="1490"/>
        <v>0</v>
      </c>
      <c r="CD183" s="103">
        <f>SUM(BM183:CC183)</f>
        <v>82.53</v>
      </c>
      <c r="CE183" s="52"/>
      <c r="CF183" s="107">
        <f>J183</f>
        <v>100.3</v>
      </c>
      <c r="CG183" s="104">
        <f>CD183/CF183</f>
        <v>0.82283150548354944</v>
      </c>
      <c r="CH183" s="53">
        <f>Seilareal/Lwl/Lwl</f>
        <v>0.69652777777777775</v>
      </c>
      <c r="CI183" s="119">
        <f>Seilareal/Depl^0.667/K$7</f>
        <v>1.3339438007494659</v>
      </c>
      <c r="CJ183" s="53">
        <f>Seilareal/Lwl/Lwl/SApRS1</f>
        <v>1.0568550202407583</v>
      </c>
      <c r="CK183" s="209"/>
      <c r="CL183" s="209">
        <f>(ROUND(TBF/CL$6,3)*CL$6)*CL$4</f>
        <v>100</v>
      </c>
      <c r="CM183" s="110">
        <f t="shared" si="1189"/>
        <v>0.99952215165562197</v>
      </c>
      <c r="CN183" s="64">
        <f>IF(SeilBeregnet=0,"-",(SeilBeregnet)^(1/2)*StHfaktor/(Depl+DeplTillegg/1000+Vann/1000+Diesel/1000*0.84)^(1/3))</f>
        <v>3.4413171322525025</v>
      </c>
      <c r="CO183" s="64">
        <f t="shared" si="1140"/>
        <v>1.7822036920621616</v>
      </c>
      <c r="CP183" s="64">
        <f t="shared" si="1141"/>
        <v>1.8612097182041991</v>
      </c>
      <c r="CQ183" s="110">
        <f t="shared" si="1142"/>
        <v>1.0030913449559995</v>
      </c>
      <c r="CR183" s="172" t="str">
        <f t="shared" si="1297"/>
        <v>-</v>
      </c>
      <c r="CS183" s="162"/>
      <c r="CT183" s="172" t="str">
        <f t="shared" si="1373"/>
        <v>-</v>
      </c>
      <c r="CU183" s="164"/>
      <c r="CV183" s="195" t="s">
        <v>145</v>
      </c>
      <c r="CW183" s="64">
        <v>0.96</v>
      </c>
      <c r="CX183" s="64">
        <v>0.92</v>
      </c>
      <c r="CY183" s="64">
        <v>0.96</v>
      </c>
      <c r="CZ183" s="64">
        <v>1</v>
      </c>
      <c r="DA183" s="64">
        <f t="shared" si="1397"/>
        <v>2.0388160736299663</v>
      </c>
      <c r="DB183" s="49">
        <f t="shared" si="1398"/>
        <v>12.941176470588237</v>
      </c>
      <c r="DC183" s="50">
        <f t="shared" si="1399"/>
        <v>0</v>
      </c>
      <c r="DE183" s="110">
        <f>IF(SeilBeregnet=0,"-",DE$7*(DG:DG+DE$6)*DL:DL*PropF+ErfaringsF+Dyp_F)</f>
        <v>0.98099225757654762</v>
      </c>
      <c r="DF183" s="144" t="str">
        <f t="shared" si="1161"/>
        <v>-</v>
      </c>
      <c r="DG183" s="110">
        <f t="shared" si="1400"/>
        <v>5.2977419026211114</v>
      </c>
      <c r="DH183" s="136">
        <f>IF(SeilBeregnet=0,DH182,(SeilBeregnet^0.5/(Depl^0.3333))^DH$3*DH$7)</f>
        <v>3.4667585602610562</v>
      </c>
      <c r="DI183" s="136">
        <f>IF(SeilBeregnet=0,DI182,(SeilBeregnet^0.5/Lwl)^DI$3*DI$7)</f>
        <v>0</v>
      </c>
      <c r="DJ183" s="136">
        <f>IF(SeilBeregnet=0,DJ182,(0.1*Loa/Depl^0.3333)^DJ$3*DJ$7)</f>
        <v>0</v>
      </c>
      <c r="DK183" s="136">
        <f>IF(SeilBeregnet=0,DK182,((Loa)/Bredde)^DK$3*DK$7)</f>
        <v>1.8309833423600554</v>
      </c>
      <c r="DL183" s="110">
        <f>IF(SeilBeregnet=0,DL182,(Lwl)^DL$3)</f>
        <v>1.8612097182041991</v>
      </c>
      <c r="DM183" s="136">
        <f>IF(SeilBeregnet=0,DM182,(Dypg/Loa)^DM$3*5*DM$7)</f>
        <v>2.0251955098445942</v>
      </c>
      <c r="DO183" s="110">
        <f t="shared" si="733"/>
        <v>1.0199205629138997</v>
      </c>
      <c r="DP183" s="110">
        <f t="shared" si="1401"/>
        <v>0.95453581756504891</v>
      </c>
      <c r="DR183" s="110">
        <f t="shared" si="1402"/>
        <v>0.95522416783917552</v>
      </c>
      <c r="DS183" s="125" t="str">
        <f t="shared" si="1162"/>
        <v>-</v>
      </c>
      <c r="DT183" s="110">
        <f t="shared" si="1403"/>
        <v>1.0032946419233606</v>
      </c>
      <c r="DU183" s="125" t="str">
        <f t="shared" si="1163"/>
        <v>-</v>
      </c>
      <c r="DV183" s="110">
        <f t="shared" si="214"/>
        <v>3.4664579666626323</v>
      </c>
      <c r="DW183" s="110">
        <f t="shared" si="215"/>
        <v>2.2892388590912591</v>
      </c>
      <c r="DX183" s="110">
        <f t="shared" si="1341"/>
        <v>1.5875820080316205</v>
      </c>
      <c r="DZ183" s="110">
        <f t="shared" si="1404"/>
        <v>0.99703775119577243</v>
      </c>
      <c r="EB183" s="110">
        <f t="shared" si="217"/>
        <v>3.4664579666626323</v>
      </c>
      <c r="EC183" s="110">
        <f t="shared" si="1342"/>
        <v>2.2894095217983113</v>
      </c>
      <c r="ED183" s="110">
        <f t="shared" si="1343"/>
        <v>1.8519167499625264</v>
      </c>
      <c r="EE183" s="110">
        <f t="shared" si="1405"/>
        <v>0.99037153287576984</v>
      </c>
      <c r="EG183" s="110">
        <f t="shared" si="1344"/>
        <v>5.50328629947147</v>
      </c>
      <c r="EH183" s="110">
        <f t="shared" si="219"/>
        <v>3.4664579666626323</v>
      </c>
      <c r="EI183" s="110">
        <f t="shared" si="1345"/>
        <v>1.5875820080316205</v>
      </c>
      <c r="EJ183" s="110">
        <f t="shared" si="1346"/>
        <v>1.8612097182041991</v>
      </c>
      <c r="EK183" s="110">
        <f>IF(SeilBeregnet=0,"-",EK$7*(EK$4*EM:EM+EK$6)*EP:EP*PropF+ErfaringsF+Dyp_F)</f>
        <v>0.98741460508636814</v>
      </c>
      <c r="EM183" s="110">
        <f>IF(SeilBeregnet=0,EM182,(EN:EN*EO:EO)^EM$3)</f>
        <v>1.8751764801586763</v>
      </c>
      <c r="EN183" s="110">
        <f t="shared" si="220"/>
        <v>3.4664579666626323</v>
      </c>
      <c r="EO183" s="110">
        <f t="shared" si="1347"/>
        <v>1.0143745764572543</v>
      </c>
      <c r="EP183" s="110">
        <f t="shared" si="1348"/>
        <v>1.8773991690387828</v>
      </c>
      <c r="EQ183" s="110">
        <f>IF(SeilBeregnet=0,"-",EQ$7*(ES:ES+EQ$6)*EV:EV*PropF+ErfaringsF+Dyp_F)</f>
        <v>0.94897256776543515</v>
      </c>
      <c r="ES183" s="110">
        <f>(ET:ET*EU:EU)^ES$3</f>
        <v>1.8752577812781819</v>
      </c>
      <c r="ET183" s="110">
        <f t="shared" si="221"/>
        <v>3.4667585602610562</v>
      </c>
      <c r="EU183" s="110">
        <f t="shared" si="1349"/>
        <v>1.0143745764572543</v>
      </c>
      <c r="EV183" s="110">
        <f t="shared" si="1350"/>
        <v>1.8773991690387828</v>
      </c>
      <c r="EW183" s="110">
        <f>IF(SeilBeregnet=0,"-",EW$7*(EY:EY+EW$6)*FB:FB*PropF+ErfaringsF+Dyp_F)</f>
        <v>0.9900179554134807</v>
      </c>
      <c r="EX183" s="144" t="str">
        <f t="shared" si="1246"/>
        <v>-</v>
      </c>
      <c r="EY183" s="110">
        <f>(EZ:EZ*FA:FA)^EY$3</f>
        <v>3.5671412631697081</v>
      </c>
      <c r="EZ183" s="136">
        <f t="shared" si="1352"/>
        <v>3.4667585602610562</v>
      </c>
      <c r="FA183" s="136">
        <f t="shared" si="1353"/>
        <v>1.0289557813628338</v>
      </c>
      <c r="FB183" s="110">
        <f t="shared" si="1354"/>
        <v>1.0557391366285294</v>
      </c>
      <c r="FC183" s="110">
        <f>IF(SeilBeregnet=0,"-",FC$7*(FE:FE+FC$6)*FI:FI*PropF+ErfaringsF+Dyp_F)</f>
        <v>0.97767036645726624</v>
      </c>
      <c r="FD183" s="144" t="str">
        <f t="shared" si="1247"/>
        <v>-</v>
      </c>
      <c r="FE183" s="110">
        <f>(FF:FF+FG:FG+FH:FH)^FE$3+FE$7</f>
        <v>5.5547920991074475</v>
      </c>
      <c r="FF183" s="136">
        <f t="shared" si="1356"/>
        <v>3.4667585602610562</v>
      </c>
      <c r="FG183" s="136">
        <f t="shared" si="1357"/>
        <v>0.75705019648633609</v>
      </c>
      <c r="FH183" s="136">
        <f t="shared" si="1358"/>
        <v>1.8309833423600554</v>
      </c>
      <c r="FI183" s="110">
        <f t="shared" si="1359"/>
        <v>1.8612097182041991</v>
      </c>
      <c r="FJ183" s="110">
        <f>IF(SeilBeregnet=0,"-",FJ$7*(FL:FL+FJ$6)*FO:FO*PropF+ErfaringsF+Dyp_F)</f>
        <v>0.98649622446215679</v>
      </c>
      <c r="FK183" s="144" t="str">
        <f t="shared" si="1248"/>
        <v>-</v>
      </c>
      <c r="FL183" s="110">
        <f>(FM:FM*FN:FN)^FL$3</f>
        <v>6.3475771758221224</v>
      </c>
      <c r="FM183" s="136">
        <f t="shared" si="1361"/>
        <v>3.4667585602610562</v>
      </c>
      <c r="FN183" s="136">
        <f t="shared" si="1362"/>
        <v>1.8309833423600554</v>
      </c>
      <c r="FO183" s="110">
        <f t="shared" si="1363"/>
        <v>1.8612097182041991</v>
      </c>
      <c r="FQ183">
        <v>0.95</v>
      </c>
      <c r="FR183" s="64">
        <f t="shared" si="1249"/>
        <v>1.2109851517518369</v>
      </c>
      <c r="FS183" s="479"/>
      <c r="FT183" s="18"/>
      <c r="FU183" s="481"/>
      <c r="FV183" s="504"/>
      <c r="FW183" s="18"/>
      <c r="FX183" s="18"/>
      <c r="FY183" s="18"/>
      <c r="FZ183" s="18"/>
      <c r="GB183" s="18"/>
      <c r="GC183" s="481"/>
      <c r="GD183" s="8"/>
      <c r="GE183" s="8"/>
      <c r="GF183" s="8"/>
      <c r="GG183" s="8"/>
      <c r="GI183" s="18"/>
      <c r="GJ183" s="18"/>
      <c r="GK183" s="18"/>
      <c r="GL183" s="18"/>
      <c r="GM183" s="18"/>
      <c r="GN183" s="18"/>
      <c r="GO183" s="18"/>
      <c r="GP183" s="18"/>
    </row>
    <row r="184" spans="1:198" ht="15.6" x14ac:dyDescent="0.3">
      <c r="A184" s="62" t="s">
        <v>36</v>
      </c>
      <c r="B184" s="223"/>
      <c r="C184" s="14" t="str">
        <f>C181</f>
        <v>Gaffel</v>
      </c>
      <c r="G184" s="56"/>
      <c r="H184" s="209">
        <f>TBFavrundet</f>
        <v>95</v>
      </c>
      <c r="I184" s="65">
        <f>COUNTA(O184:AD184)</f>
        <v>2</v>
      </c>
      <c r="J184" s="228">
        <f>SUM(O184:AD184)</f>
        <v>83.6</v>
      </c>
      <c r="K184" s="119">
        <f>Seilareal/Depl^0.667/K$7</f>
        <v>1.1118414929477105</v>
      </c>
      <c r="L184" s="119">
        <f>Seilareal/Lwl/Lwl/L$7</f>
        <v>0.88088813252370279</v>
      </c>
      <c r="M184" s="95">
        <f>RiggF</f>
        <v>0.84736842105263166</v>
      </c>
      <c r="N184" s="265">
        <f>StHfaktor</f>
        <v>1.0030913449559995</v>
      </c>
      <c r="O184" s="147"/>
      <c r="P184" s="147"/>
      <c r="Q184" s="147"/>
      <c r="R184" s="147"/>
      <c r="S184" s="147"/>
      <c r="T184" s="169">
        <v>19.8</v>
      </c>
      <c r="U184" s="169">
        <v>63.8</v>
      </c>
      <c r="V184" s="148"/>
      <c r="W184" s="148"/>
      <c r="X184" s="148"/>
      <c r="Y184" s="147"/>
      <c r="Z184" s="147"/>
      <c r="AA184" s="147"/>
      <c r="AB184" s="147"/>
      <c r="AC184" s="147"/>
      <c r="AD184" s="148"/>
      <c r="AE184" s="260">
        <f t="shared" ref="AE184" si="1501">AE183</f>
        <v>12.3</v>
      </c>
      <c r="AF184" s="375">
        <f t="shared" si="1484"/>
        <v>0</v>
      </c>
      <c r="AG184" s="377"/>
      <c r="AH184" s="375">
        <f t="shared" si="1484"/>
        <v>0</v>
      </c>
      <c r="AI184" s="377"/>
      <c r="AJ184" s="295" t="str">
        <f t="shared" ref="AJ184" si="1502" xml:space="preserve"> AJ183</f>
        <v>Lystb</v>
      </c>
      <c r="AK184" s="47">
        <f>VLOOKUP(AJ184,Skrogform!$1:$1048576,3,FALSE)</f>
        <v>0.98</v>
      </c>
      <c r="AL184" s="66">
        <f t="shared" ref="AL184:AT184" si="1503">AL183</f>
        <v>13.41</v>
      </c>
      <c r="AM184" s="66">
        <f t="shared" si="1503"/>
        <v>12</v>
      </c>
      <c r="AN184" s="66">
        <f t="shared" si="1503"/>
        <v>4</v>
      </c>
      <c r="AO184" s="66">
        <f t="shared" si="1503"/>
        <v>2.2000000000000002</v>
      </c>
      <c r="AP184" s="66">
        <f t="shared" si="1503"/>
        <v>18</v>
      </c>
      <c r="AQ184" s="66">
        <f t="shared" si="1503"/>
        <v>4</v>
      </c>
      <c r="AR184" s="66">
        <f t="shared" si="1503"/>
        <v>2</v>
      </c>
      <c r="AS184" s="284">
        <f t="shared" si="1503"/>
        <v>110</v>
      </c>
      <c r="AT184" s="284">
        <f t="shared" si="1503"/>
        <v>400</v>
      </c>
      <c r="AU184" s="284">
        <f t="shared" ref="AU184:AV184" si="1504">AU183</f>
        <v>200</v>
      </c>
      <c r="AV184" s="284">
        <f t="shared" si="1504"/>
        <v>200</v>
      </c>
      <c r="AW184" s="284"/>
      <c r="AX184" s="284">
        <f>AX183</f>
        <v>0</v>
      </c>
      <c r="AY184" s="68"/>
      <c r="AZ184" s="68"/>
      <c r="BA184" s="289"/>
      <c r="BB184" s="68"/>
      <c r="BC184" s="179"/>
      <c r="BD184" s="68"/>
      <c r="BE184" s="68"/>
      <c r="BF184" s="67" t="str">
        <f t="shared" ref="BF184:BH184" si="1505" xml:space="preserve"> BF183</f>
        <v>Fast</v>
      </c>
      <c r="BG184" s="295">
        <f t="shared" si="1505"/>
        <v>3</v>
      </c>
      <c r="BH184" s="295">
        <f t="shared" si="1505"/>
        <v>50</v>
      </c>
      <c r="BI184" s="47">
        <f t="shared" si="1370"/>
        <v>0.9850495979846261</v>
      </c>
      <c r="BJ184" s="61"/>
      <c r="BK184" s="61"/>
      <c r="BM184" s="51">
        <f t="shared" si="1489"/>
        <v>0</v>
      </c>
      <c r="BN184" s="51">
        <f t="shared" si="1489"/>
        <v>0</v>
      </c>
      <c r="BO184" s="51">
        <f t="shared" si="1489"/>
        <v>0</v>
      </c>
      <c r="BP184" s="51">
        <f t="shared" si="1489"/>
        <v>0</v>
      </c>
      <c r="BQ184" s="51">
        <f t="shared" si="1489"/>
        <v>0</v>
      </c>
      <c r="BR184" s="51">
        <f t="shared" si="1489"/>
        <v>19.8</v>
      </c>
      <c r="BS184" s="52">
        <f>IF(COUNT(P184:T184)&gt;1,MINA(P184:T184)*BS$9,0)</f>
        <v>0</v>
      </c>
      <c r="BT184" s="88">
        <f t="shared" si="1490"/>
        <v>51.04</v>
      </c>
      <c r="BU184" s="88">
        <f t="shared" si="1490"/>
        <v>0</v>
      </c>
      <c r="BV184" s="88">
        <f t="shared" si="1490"/>
        <v>0</v>
      </c>
      <c r="BW184" s="88">
        <f t="shared" si="1490"/>
        <v>0</v>
      </c>
      <c r="BX184" s="88">
        <f t="shared" si="1490"/>
        <v>0</v>
      </c>
      <c r="BY184" s="88">
        <f t="shared" si="1490"/>
        <v>0</v>
      </c>
      <c r="BZ184" s="88">
        <f t="shared" si="1490"/>
        <v>0</v>
      </c>
      <c r="CA184" s="88">
        <f t="shared" si="1490"/>
        <v>0</v>
      </c>
      <c r="CB184" s="88">
        <f t="shared" si="1490"/>
        <v>0</v>
      </c>
      <c r="CC184" s="88">
        <f t="shared" si="1490"/>
        <v>0</v>
      </c>
      <c r="CD184" s="103">
        <f>SUM(BM184:CC184)</f>
        <v>70.84</v>
      </c>
      <c r="CE184" s="52"/>
      <c r="CF184" s="107">
        <f>J184</f>
        <v>83.6</v>
      </c>
      <c r="CG184" s="104">
        <f>CD184/CF184</f>
        <v>0.84736842105263166</v>
      </c>
      <c r="CH184" s="53">
        <f>Seilareal/Lwl/Lwl</f>
        <v>0.58055555555555549</v>
      </c>
      <c r="CI184" s="119">
        <f>Seilareal/Depl^0.667/K$7</f>
        <v>1.1118414929477105</v>
      </c>
      <c r="CJ184" s="53">
        <f>Seilareal/Lwl/Lwl/SApRS1</f>
        <v>0.88088813252370279</v>
      </c>
      <c r="CK184" s="209"/>
      <c r="CL184" s="209">
        <f>(ROUND(TBF/CL$6,3)*CL$6)*CL$4</f>
        <v>95</v>
      </c>
      <c r="CM184" s="110">
        <f t="shared" si="1189"/>
        <v>0.95110566774281413</v>
      </c>
      <c r="CN184" s="64">
        <f>IF(SeilBeregnet=0,"-",(SeilBeregnet)^(1/2)*StHfaktor/(Depl+DeplTillegg/1000+Vann/1000+Diesel/1000*0.84)^(1/3))</f>
        <v>3.1882917125159485</v>
      </c>
      <c r="CO184" s="64">
        <f t="shared" si="1140"/>
        <v>1.7822036920621616</v>
      </c>
      <c r="CP184" s="64">
        <f t="shared" si="1141"/>
        <v>1.8612097182041991</v>
      </c>
      <c r="CQ184" s="110">
        <f t="shared" si="1142"/>
        <v>1.0030913449559995</v>
      </c>
      <c r="CR184" s="172" t="str">
        <f t="shared" si="1297"/>
        <v>-</v>
      </c>
      <c r="CS184" s="162"/>
      <c r="CT184" s="172" t="str">
        <f t="shared" si="1373"/>
        <v>-</v>
      </c>
      <c r="CU184" s="164"/>
      <c r="CV184" s="195" t="s">
        <v>145</v>
      </c>
      <c r="CW184" s="64">
        <v>0.9</v>
      </c>
      <c r="CX184" s="64">
        <v>0.89</v>
      </c>
      <c r="CY184" s="64">
        <v>0.91</v>
      </c>
      <c r="CZ184" s="154" t="s">
        <v>111</v>
      </c>
      <c r="DA184" s="64">
        <f t="shared" si="1397"/>
        <v>2.0388160736299663</v>
      </c>
      <c r="DB184" s="49">
        <f t="shared" si="1398"/>
        <v>12.941176470588237</v>
      </c>
      <c r="DC184" s="50">
        <f t="shared" si="1399"/>
        <v>0</v>
      </c>
      <c r="DE184" s="110">
        <f>IF(SeilBeregnet=0,"-",DE$7*(DG:DG+DE$6)*DL:DL*PropF+ErfaringsF+Dyp_F)</f>
        <v>0.93379270982692431</v>
      </c>
      <c r="DF184" s="144" t="str">
        <f t="shared" si="1161"/>
        <v>-</v>
      </c>
      <c r="DG184" s="110">
        <f t="shared" si="1400"/>
        <v>5.0428458828342952</v>
      </c>
      <c r="DH184" s="136">
        <f>IF(SeilBeregnet=0,DH183,(SeilBeregnet^0.5/(Depl^0.3333))^DH$3*DH$7)</f>
        <v>3.2118625404742396</v>
      </c>
      <c r="DI184" s="136">
        <f>IF(SeilBeregnet=0,DI183,(SeilBeregnet^0.5/Lwl)^DI$3*DI$7)</f>
        <v>0</v>
      </c>
      <c r="DJ184" s="136">
        <f>IF(SeilBeregnet=0,DJ183,(0.1*Loa/Depl^0.3333)^DJ$3*DJ$7)</f>
        <v>0</v>
      </c>
      <c r="DK184" s="136">
        <f>IF(SeilBeregnet=0,DK183,((Loa)/Bredde)^DK$3*DK$7)</f>
        <v>1.8309833423600554</v>
      </c>
      <c r="DL184" s="110">
        <f>IF(SeilBeregnet=0,DL183,(Lwl)^DL$3)</f>
        <v>1.8612097182041991</v>
      </c>
      <c r="DM184" s="136">
        <f>IF(SeilBeregnet=0,DM183,(Dypg/Loa)^DM$3*5*DM$7)</f>
        <v>2.0251955098445942</v>
      </c>
      <c r="DO184" s="110">
        <f t="shared" si="733"/>
        <v>0.97051598749266743</v>
      </c>
      <c r="DP184" s="110">
        <f t="shared" si="1401"/>
        <v>0.89886034524500436</v>
      </c>
      <c r="DR184" s="110">
        <f t="shared" si="1402"/>
        <v>0.90968989076893336</v>
      </c>
      <c r="DS184" s="125" t="str">
        <f t="shared" si="1162"/>
        <v>-</v>
      </c>
      <c r="DT184" s="110">
        <f t="shared" si="1403"/>
        <v>0.94611409634094101</v>
      </c>
      <c r="DU184" s="125" t="str">
        <f t="shared" si="1163"/>
        <v>-</v>
      </c>
      <c r="DV184" s="110">
        <f t="shared" si="214"/>
        <v>3.211584048245288</v>
      </c>
      <c r="DW184" s="110">
        <f t="shared" si="215"/>
        <v>2.2892388590912591</v>
      </c>
      <c r="DX184" s="110">
        <f t="shared" si="1341"/>
        <v>1.5875820080316205</v>
      </c>
      <c r="DZ184" s="110">
        <f t="shared" si="1404"/>
        <v>0.94520952408076564</v>
      </c>
      <c r="EB184" s="110">
        <f t="shared" si="217"/>
        <v>3.211584048245288</v>
      </c>
      <c r="EC184" s="110">
        <f t="shared" si="1342"/>
        <v>2.2894095217983113</v>
      </c>
      <c r="ED184" s="110">
        <f t="shared" si="1343"/>
        <v>1.8519167499625264</v>
      </c>
      <c r="EE184" s="110">
        <f t="shared" si="1405"/>
        <v>0.93696330169763564</v>
      </c>
      <c r="EG184" s="110">
        <f t="shared" si="1344"/>
        <v>5.0986530522755755</v>
      </c>
      <c r="EH184" s="110">
        <f t="shared" si="219"/>
        <v>3.211584048245288</v>
      </c>
      <c r="EI184" s="110">
        <f t="shared" si="1345"/>
        <v>1.5875820080316205</v>
      </c>
      <c r="EJ184" s="110">
        <f t="shared" si="1346"/>
        <v>1.8612097182041991</v>
      </c>
      <c r="EK184" s="110">
        <f>IF(SeilBeregnet=0,"-",EK$7*(EK$4*EM:EM+EK$6)*EP:EP*PropF+ErfaringsF+Dyp_F)</f>
        <v>0.93697110271206729</v>
      </c>
      <c r="EM184" s="110">
        <f>IF(SeilBeregnet=0,EM183,(EN:EN*EO:EO)^EM$3)</f>
        <v>1.804923601900005</v>
      </c>
      <c r="EN184" s="110">
        <f t="shared" si="220"/>
        <v>3.211584048245288</v>
      </c>
      <c r="EO184" s="110">
        <f t="shared" si="1347"/>
        <v>1.0143745764572543</v>
      </c>
      <c r="EP184" s="110">
        <f t="shared" si="1348"/>
        <v>1.8773991690387828</v>
      </c>
      <c r="EQ184" s="110">
        <f>IF(SeilBeregnet=0,"-",EQ$7*(ES:ES+EQ$6)*EV:EV*PropF+ErfaringsF+Dyp_F)</f>
        <v>0.91341961849401399</v>
      </c>
      <c r="ES184" s="110">
        <f>(ET:ET*EU:EU)^ES$3</f>
        <v>1.8050018570994539</v>
      </c>
      <c r="ET184" s="110">
        <f t="shared" si="221"/>
        <v>3.2118625404742396</v>
      </c>
      <c r="EU184" s="110">
        <f t="shared" si="1349"/>
        <v>1.0143745764572543</v>
      </c>
      <c r="EV184" s="110">
        <f t="shared" si="1350"/>
        <v>1.8773991690387828</v>
      </c>
      <c r="EW184" s="110">
        <f>IF(SeilBeregnet=0,"-",EW$7*(EY:EY+EW$6)*FB:FB*PropF+ErfaringsF+Dyp_F)</f>
        <v>0.9433766609166151</v>
      </c>
      <c r="EX184" s="144" t="str">
        <f t="shared" si="1246"/>
        <v>-</v>
      </c>
      <c r="EY184" s="110">
        <f>(EZ:EZ*FA:FA)^EY$3</f>
        <v>3.3048645299636878</v>
      </c>
      <c r="EZ184" s="136">
        <f t="shared" si="1352"/>
        <v>3.2118625404742396</v>
      </c>
      <c r="FA184" s="136">
        <f t="shared" si="1353"/>
        <v>1.0289557813628338</v>
      </c>
      <c r="FB184" s="110">
        <f t="shared" si="1354"/>
        <v>1.0557391366285294</v>
      </c>
      <c r="FC184" s="110">
        <f>IF(SeilBeregnet=0,"-",FC$7*(FE:FE+FC$6)*FI:FI*PropF+ErfaringsF+Dyp_F)</f>
        <v>0.92301052769371217</v>
      </c>
      <c r="FD184" s="144" t="str">
        <f t="shared" si="1247"/>
        <v>-</v>
      </c>
      <c r="FE184" s="110">
        <f>(FF:FF+FG:FG+FH:FH)^FE$3+FE$7</f>
        <v>5.2442333965843222</v>
      </c>
      <c r="FF184" s="136">
        <f t="shared" si="1356"/>
        <v>3.2118625404742396</v>
      </c>
      <c r="FG184" s="136">
        <f t="shared" si="1357"/>
        <v>0.70138751375002706</v>
      </c>
      <c r="FH184" s="136">
        <f t="shared" si="1358"/>
        <v>1.8309833423600554</v>
      </c>
      <c r="FI184" s="110">
        <f t="shared" si="1359"/>
        <v>1.8612097182041991</v>
      </c>
      <c r="FJ184" s="110">
        <f>IF(SeilBeregnet=0,"-",FJ$7*(FL:FL+FJ$6)*FO:FO*PropF+ErfaringsF+Dyp_F)</f>
        <v>0.94200194271743021</v>
      </c>
      <c r="FK184" s="144" t="str">
        <f t="shared" si="1248"/>
        <v>-</v>
      </c>
      <c r="FL184" s="110">
        <f>(FM:FM*FN:FN)^FL$3</f>
        <v>5.8808668095585821</v>
      </c>
      <c r="FM184" s="136">
        <f t="shared" si="1361"/>
        <v>3.2118625404742396</v>
      </c>
      <c r="FN184" s="136">
        <f t="shared" si="1362"/>
        <v>1.8309833423600554</v>
      </c>
      <c r="FO184" s="110">
        <f t="shared" si="1363"/>
        <v>1.8612097182041991</v>
      </c>
      <c r="FQ184">
        <v>0.95</v>
      </c>
      <c r="FR184" s="64">
        <f t="shared" ref="FR184:FR203" si="1506">IF(SeilBeregnet=0,"-",0.06*2.43^(1/2)*(SeilBeregnet^(1/2)/Depl^(1/3)+(Loa/Bredde)^(1/2)+5*(Dypg/Loa)^(1/2))*Lwl^(1/4)*FQ184)</f>
        <v>1.1688354490659263</v>
      </c>
      <c r="FS184" s="479"/>
      <c r="FT184" s="18"/>
      <c r="FU184" s="481"/>
      <c r="FV184" s="504"/>
      <c r="FW184" s="18"/>
      <c r="FX184" s="18"/>
      <c r="FY184" s="18"/>
      <c r="FZ184" s="18"/>
      <c r="GB184" s="18"/>
      <c r="GC184" s="481"/>
      <c r="GD184" s="8"/>
      <c r="GE184" s="8"/>
      <c r="GF184" s="8"/>
      <c r="GG184" s="8"/>
      <c r="GI184" s="18"/>
      <c r="GJ184" s="18"/>
      <c r="GK184" s="18"/>
      <c r="GL184" s="18"/>
      <c r="GM184" s="18"/>
      <c r="GN184" s="18"/>
      <c r="GO184" s="18"/>
      <c r="GP184" s="18"/>
    </row>
    <row r="185" spans="1:198" ht="15.6" x14ac:dyDescent="0.3">
      <c r="A185" s="62" t="s">
        <v>38</v>
      </c>
      <c r="B185" s="223"/>
      <c r="C185" s="14" t="str">
        <f>C182</f>
        <v>Gaffel</v>
      </c>
      <c r="G185" s="56"/>
      <c r="H185" s="209">
        <f>TBFavrundet</f>
        <v>89.999999999999986</v>
      </c>
      <c r="I185" s="65">
        <f>COUNTA(O185:AD185)</f>
        <v>2</v>
      </c>
      <c r="J185" s="228">
        <f>SUM(O185:AD185)</f>
        <v>72.400000000000006</v>
      </c>
      <c r="K185" s="119">
        <f>Seilareal/Depl^0.667/K$7</f>
        <v>0.96288665178725175</v>
      </c>
      <c r="L185" s="119">
        <f>Seilareal/Lwl/Lwl/L$7</f>
        <v>0.76287441142004908</v>
      </c>
      <c r="M185" s="95">
        <f>RiggF</f>
        <v>0.8183701657458563</v>
      </c>
      <c r="N185" s="265">
        <f>StHfaktor</f>
        <v>1.0030913449559995</v>
      </c>
      <c r="O185" s="147"/>
      <c r="P185" s="147"/>
      <c r="Q185" s="147"/>
      <c r="R185" s="147"/>
      <c r="S185" s="147"/>
      <c r="T185" s="169">
        <v>19.8</v>
      </c>
      <c r="U185" s="148"/>
      <c r="V185" s="169">
        <v>52.6</v>
      </c>
      <c r="W185" s="148"/>
      <c r="X185" s="148"/>
      <c r="Y185" s="147"/>
      <c r="Z185" s="147"/>
      <c r="AA185" s="147"/>
      <c r="AB185" s="147"/>
      <c r="AC185" s="147"/>
      <c r="AD185" s="148"/>
      <c r="AE185" s="260">
        <f t="shared" ref="AE185" si="1507">AE184</f>
        <v>12.3</v>
      </c>
      <c r="AF185" s="375">
        <f t="shared" si="1484"/>
        <v>0</v>
      </c>
      <c r="AG185" s="377"/>
      <c r="AH185" s="375">
        <f t="shared" si="1484"/>
        <v>0</v>
      </c>
      <c r="AI185" s="377"/>
      <c r="AJ185" s="295" t="str">
        <f t="shared" ref="AJ185" si="1508" xml:space="preserve"> AJ184</f>
        <v>Lystb</v>
      </c>
      <c r="AK185" s="47">
        <f>VLOOKUP(AJ185,Skrogform!$1:$1048576,3,FALSE)</f>
        <v>0.98</v>
      </c>
      <c r="AL185" s="66">
        <f t="shared" ref="AL185:AT185" si="1509">AL184</f>
        <v>13.41</v>
      </c>
      <c r="AM185" s="66">
        <f t="shared" si="1509"/>
        <v>12</v>
      </c>
      <c r="AN185" s="66">
        <f t="shared" si="1509"/>
        <v>4</v>
      </c>
      <c r="AO185" s="66">
        <f t="shared" si="1509"/>
        <v>2.2000000000000002</v>
      </c>
      <c r="AP185" s="66">
        <f t="shared" si="1509"/>
        <v>18</v>
      </c>
      <c r="AQ185" s="66">
        <f t="shared" si="1509"/>
        <v>4</v>
      </c>
      <c r="AR185" s="66">
        <f t="shared" si="1509"/>
        <v>2</v>
      </c>
      <c r="AS185" s="284">
        <f t="shared" si="1509"/>
        <v>110</v>
      </c>
      <c r="AT185" s="284">
        <f t="shared" si="1509"/>
        <v>400</v>
      </c>
      <c r="AU185" s="284">
        <f t="shared" ref="AU185:AV185" si="1510">AU184</f>
        <v>200</v>
      </c>
      <c r="AV185" s="284">
        <f t="shared" si="1510"/>
        <v>200</v>
      </c>
      <c r="AW185" s="284"/>
      <c r="AX185" s="284">
        <f>AX184</f>
        <v>0</v>
      </c>
      <c r="AY185" s="68"/>
      <c r="AZ185" s="68"/>
      <c r="BA185" s="289"/>
      <c r="BB185" s="68"/>
      <c r="BC185" s="179"/>
      <c r="BD185" s="68"/>
      <c r="BE185" s="68"/>
      <c r="BF185" s="67" t="str">
        <f t="shared" ref="BF185:BH185" si="1511" xml:space="preserve"> BF184</f>
        <v>Fast</v>
      </c>
      <c r="BG185" s="295">
        <f t="shared" si="1511"/>
        <v>3</v>
      </c>
      <c r="BH185" s="295">
        <f t="shared" si="1511"/>
        <v>50</v>
      </c>
      <c r="BI185" s="47">
        <f t="shared" si="1370"/>
        <v>0.9850495979846261</v>
      </c>
      <c r="BJ185" s="61"/>
      <c r="BK185" s="61"/>
      <c r="BM185" s="51">
        <f t="shared" si="1489"/>
        <v>0</v>
      </c>
      <c r="BN185" s="51">
        <f t="shared" si="1489"/>
        <v>0</v>
      </c>
      <c r="BO185" s="51">
        <f t="shared" si="1489"/>
        <v>0</v>
      </c>
      <c r="BP185" s="51">
        <f t="shared" si="1489"/>
        <v>0</v>
      </c>
      <c r="BQ185" s="51">
        <f t="shared" si="1489"/>
        <v>0</v>
      </c>
      <c r="BR185" s="51">
        <f t="shared" si="1489"/>
        <v>19.8</v>
      </c>
      <c r="BS185" s="52">
        <f>IF(COUNT(P185:T185)&gt;1,MINA(P185:T185)*BS$9,0)</f>
        <v>0</v>
      </c>
      <c r="BT185" s="88">
        <f t="shared" si="1490"/>
        <v>0</v>
      </c>
      <c r="BU185" s="88">
        <f t="shared" si="1490"/>
        <v>39.450000000000003</v>
      </c>
      <c r="BV185" s="88">
        <f t="shared" si="1490"/>
        <v>0</v>
      </c>
      <c r="BW185" s="88">
        <f t="shared" si="1490"/>
        <v>0</v>
      </c>
      <c r="BX185" s="88">
        <f t="shared" si="1490"/>
        <v>0</v>
      </c>
      <c r="BY185" s="88">
        <f t="shared" si="1490"/>
        <v>0</v>
      </c>
      <c r="BZ185" s="88">
        <f t="shared" si="1490"/>
        <v>0</v>
      </c>
      <c r="CA185" s="88">
        <f t="shared" si="1490"/>
        <v>0</v>
      </c>
      <c r="CB185" s="88">
        <f t="shared" si="1490"/>
        <v>0</v>
      </c>
      <c r="CC185" s="88">
        <f t="shared" si="1490"/>
        <v>0</v>
      </c>
      <c r="CD185" s="103">
        <f>SUM(BM185:CC185)</f>
        <v>59.25</v>
      </c>
      <c r="CE185" s="52"/>
      <c r="CF185" s="107">
        <f>J185</f>
        <v>72.400000000000006</v>
      </c>
      <c r="CG185" s="104">
        <f>CD185/CF185</f>
        <v>0.8183701657458563</v>
      </c>
      <c r="CH185" s="53">
        <f>Seilareal/Lwl/Lwl</f>
        <v>0.50277777777777788</v>
      </c>
      <c r="CI185" s="119">
        <f>Seilareal/Depl^0.667/K$7</f>
        <v>0.96288665178725175</v>
      </c>
      <c r="CJ185" s="53">
        <f>Seilareal/Lwl/Lwl/SApRS1</f>
        <v>0.76287441142004908</v>
      </c>
      <c r="CK185" s="209"/>
      <c r="CL185" s="209">
        <f>(ROUND(TBF/CL$6,3)*CL$6)*CL$4</f>
        <v>89.999999999999986</v>
      </c>
      <c r="CM185" s="110">
        <f t="shared" si="1189"/>
        <v>0.8989710091892601</v>
      </c>
      <c r="CN185" s="64">
        <f>IF(SeilBeregnet=0,"-",(SeilBeregnet)^(1/2)*StHfaktor/(Depl+DeplTillegg/1000+Vann/1000+Diesel/1000*0.84)^(1/3))</f>
        <v>2.9158350449254025</v>
      </c>
      <c r="CO185" s="64">
        <f t="shared" si="1140"/>
        <v>1.7822036920621616</v>
      </c>
      <c r="CP185" s="64">
        <f t="shared" si="1141"/>
        <v>1.8612097182041991</v>
      </c>
      <c r="CQ185" s="110">
        <f t="shared" si="1142"/>
        <v>1.0030913449559995</v>
      </c>
      <c r="CR185" s="172" t="str">
        <f t="shared" si="1297"/>
        <v>-</v>
      </c>
      <c r="CS185" s="162"/>
      <c r="CT185" s="172" t="str">
        <f t="shared" si="1373"/>
        <v>-</v>
      </c>
      <c r="CU185" s="164"/>
      <c r="CV185" s="195" t="s">
        <v>145</v>
      </c>
      <c r="CW185" s="64">
        <v>0.86</v>
      </c>
      <c r="CX185" s="64">
        <v>0.86</v>
      </c>
      <c r="CY185" s="64">
        <v>0.87</v>
      </c>
      <c r="CZ185" s="154" t="s">
        <v>111</v>
      </c>
      <c r="DA185" s="64">
        <f t="shared" si="1397"/>
        <v>2.0388160736299663</v>
      </c>
      <c r="DB185" s="49">
        <f t="shared" si="1398"/>
        <v>12.941176470588237</v>
      </c>
      <c r="DC185" s="50">
        <f t="shared" si="1399"/>
        <v>0</v>
      </c>
      <c r="DE185" s="110">
        <f>IF(SeilBeregnet=0,"-",DE$7*(DG:DG+DE$6)*DL:DL*PropF+ErfaringsF+Dyp_F)</f>
        <v>0.88296844282231779</v>
      </c>
      <c r="DF185" s="144" t="str">
        <f t="shared" si="1161"/>
        <v>-</v>
      </c>
      <c r="DG185" s="110">
        <f t="shared" si="1400"/>
        <v>4.7683749612742465</v>
      </c>
      <c r="DH185" s="136">
        <f>IF(SeilBeregnet=0,DH184,(SeilBeregnet^0.5/(Depl^0.3333))^DH$3*DH$7)</f>
        <v>2.9373916189141913</v>
      </c>
      <c r="DI185" s="136">
        <f>IF(SeilBeregnet=0,DI184,(SeilBeregnet^0.5/Lwl)^DI$3*DI$7)</f>
        <v>0</v>
      </c>
      <c r="DJ185" s="136">
        <f>IF(SeilBeregnet=0,DJ184,(0.1*Loa/Depl^0.3333)^DJ$3*DJ$7)</f>
        <v>0</v>
      </c>
      <c r="DK185" s="136">
        <f>IF(SeilBeregnet=0,DK184,((Loa)/Bredde)^DK$3*DK$7)</f>
        <v>1.8309833423600554</v>
      </c>
      <c r="DL185" s="110">
        <f>IF(SeilBeregnet=0,DL184,(Lwl)^DL$3)</f>
        <v>1.8612097182041991</v>
      </c>
      <c r="DM185" s="136">
        <f>IF(SeilBeregnet=0,DM184,(Dypg/Loa)^DM$3*5*DM$7)</f>
        <v>2.0251955098445942</v>
      </c>
      <c r="DO185" s="110">
        <f t="shared" si="733"/>
        <v>0.91731735631557143</v>
      </c>
      <c r="DP185" s="110">
        <f t="shared" si="1401"/>
        <v>0.83890923965789421</v>
      </c>
      <c r="DR185" s="110">
        <f t="shared" si="1402"/>
        <v>0.86065877996346651</v>
      </c>
      <c r="DS185" s="125" t="str">
        <f t="shared" si="1162"/>
        <v>-</v>
      </c>
      <c r="DT185" s="110">
        <f t="shared" si="1403"/>
        <v>0.88454233443410912</v>
      </c>
      <c r="DU185" s="125" t="str">
        <f t="shared" si="1163"/>
        <v>-</v>
      </c>
      <c r="DV185" s="110">
        <f t="shared" si="214"/>
        <v>2.9371369253434212</v>
      </c>
      <c r="DW185" s="110">
        <f t="shared" si="215"/>
        <v>2.2892388590912591</v>
      </c>
      <c r="DX185" s="110">
        <f t="shared" si="1341"/>
        <v>1.5875820080316205</v>
      </c>
      <c r="DZ185" s="110">
        <f t="shared" si="1404"/>
        <v>0.88940111533834265</v>
      </c>
      <c r="EB185" s="110">
        <f t="shared" si="217"/>
        <v>2.9371369253434212</v>
      </c>
      <c r="EC185" s="110">
        <f t="shared" si="1342"/>
        <v>2.2894095217983113</v>
      </c>
      <c r="ED185" s="110">
        <f t="shared" si="1343"/>
        <v>1.8519167499625264</v>
      </c>
      <c r="EE185" s="110">
        <f t="shared" si="1405"/>
        <v>0.87945355147629167</v>
      </c>
      <c r="EG185" s="110">
        <f t="shared" si="1344"/>
        <v>4.6629457378005288</v>
      </c>
      <c r="EH185" s="110">
        <f t="shared" si="219"/>
        <v>2.9371369253434212</v>
      </c>
      <c r="EI185" s="110">
        <f t="shared" si="1345"/>
        <v>1.5875820080316205</v>
      </c>
      <c r="EJ185" s="110">
        <f t="shared" si="1346"/>
        <v>1.8612097182041991</v>
      </c>
      <c r="EK185" s="110">
        <f>IF(SeilBeregnet=0,"-",EK$7*(EK$4*EM:EM+EK$6)*EP:EP*PropF+ErfaringsF+Dyp_F)</f>
        <v>0.88036023453338419</v>
      </c>
      <c r="EM185" s="110">
        <f>IF(SeilBeregnet=0,EM184,(EN:EN*EO:EO)^EM$3)</f>
        <v>1.7260814073044743</v>
      </c>
      <c r="EN185" s="110">
        <f t="shared" si="220"/>
        <v>2.9371369253434212</v>
      </c>
      <c r="EO185" s="110">
        <f t="shared" si="1347"/>
        <v>1.0143745764572543</v>
      </c>
      <c r="EP185" s="110">
        <f t="shared" si="1348"/>
        <v>1.8773991690387828</v>
      </c>
      <c r="EQ185" s="110">
        <f>IF(SeilBeregnet=0,"-",EQ$7*(ES:ES+EQ$6)*EV:EV*PropF+ErfaringsF+Dyp_F)</f>
        <v>0.87351986471337162</v>
      </c>
      <c r="ES185" s="110">
        <f>(ET:ET*EU:EU)^ES$3</f>
        <v>1.7261562441810334</v>
      </c>
      <c r="ET185" s="110">
        <f t="shared" si="221"/>
        <v>2.9373916189141913</v>
      </c>
      <c r="EU185" s="110">
        <f t="shared" si="1349"/>
        <v>1.0143745764572543</v>
      </c>
      <c r="EV185" s="110">
        <f t="shared" si="1350"/>
        <v>1.8773991690387828</v>
      </c>
      <c r="EW185" s="110">
        <f>IF(SeilBeregnet=0,"-",EW$7*(EY:EY+EW$6)*FB:FB*PropF+ErfaringsF+Dyp_F)</f>
        <v>0.89315351857796643</v>
      </c>
      <c r="EX185" s="144" t="str">
        <f t="shared" si="1246"/>
        <v>-</v>
      </c>
      <c r="EY185" s="110">
        <f>(EZ:EZ*FA:FA)^EY$3</f>
        <v>3.0224460884084912</v>
      </c>
      <c r="EZ185" s="136">
        <f t="shared" si="1352"/>
        <v>2.9373916189141913</v>
      </c>
      <c r="FA185" s="136">
        <f t="shared" si="1353"/>
        <v>1.0289557813628338</v>
      </c>
      <c r="FB185" s="110">
        <f t="shared" si="1354"/>
        <v>1.0557391366285294</v>
      </c>
      <c r="FC185" s="110">
        <f>IF(SeilBeregnet=0,"-",FC$7*(FE:FE+FC$6)*FI:FI*PropF+ErfaringsF+Dyp_F)</f>
        <v>0.8641530518872883</v>
      </c>
      <c r="FD185" s="144" t="str">
        <f t="shared" si="1247"/>
        <v>-</v>
      </c>
      <c r="FE185" s="110">
        <f>(FF:FF+FG:FG+FH:FH)^FE$3+FE$7</f>
        <v>4.9098251412051077</v>
      </c>
      <c r="FF185" s="136">
        <f t="shared" si="1356"/>
        <v>2.9373916189141913</v>
      </c>
      <c r="FG185" s="136">
        <f t="shared" si="1357"/>
        <v>0.64145017993086051</v>
      </c>
      <c r="FH185" s="136">
        <f t="shared" si="1358"/>
        <v>1.8309833423600554</v>
      </c>
      <c r="FI185" s="110">
        <f t="shared" si="1359"/>
        <v>1.8612097182041991</v>
      </c>
      <c r="FJ185" s="110">
        <f>IF(SeilBeregnet=0,"-",FJ$7*(FL:FL+FJ$6)*FO:FO*PropF+ErfaringsF+Dyp_F)</f>
        <v>0.8940906943392033</v>
      </c>
      <c r="FK185" s="144" t="str">
        <f t="shared" si="1248"/>
        <v>-</v>
      </c>
      <c r="FL185" s="110">
        <f>(FM:FM*FN:FN)^FL$3</f>
        <v>5.3783151242199203</v>
      </c>
      <c r="FM185" s="136">
        <f t="shared" si="1361"/>
        <v>2.9373916189141913</v>
      </c>
      <c r="FN185" s="136">
        <f t="shared" si="1362"/>
        <v>1.8309833423600554</v>
      </c>
      <c r="FO185" s="110">
        <f t="shared" si="1363"/>
        <v>1.8612097182041991</v>
      </c>
      <c r="FQ185">
        <v>0.95</v>
      </c>
      <c r="FR185" s="64">
        <f t="shared" si="1506"/>
        <v>1.1234488331848329</v>
      </c>
      <c r="FS185" s="479"/>
      <c r="FT185" s="18"/>
      <c r="FU185" s="481"/>
      <c r="FV185" s="504"/>
      <c r="FW185" s="18"/>
      <c r="FX185" s="18"/>
      <c r="FY185" s="18"/>
      <c r="FZ185" s="18"/>
      <c r="GB185" s="18"/>
      <c r="GC185" s="481"/>
      <c r="GD185" s="8"/>
      <c r="GE185" s="8"/>
      <c r="GF185" s="8"/>
      <c r="GG185" s="8"/>
      <c r="GI185" s="18"/>
      <c r="GJ185" s="18"/>
      <c r="GK185" s="18"/>
      <c r="GL185" s="18"/>
      <c r="GM185" s="18"/>
      <c r="GN185" s="18"/>
      <c r="GO185" s="18"/>
      <c r="GP185" s="18"/>
    </row>
    <row r="186" spans="1:198" ht="15.6" x14ac:dyDescent="0.3">
      <c r="A186" s="54" t="s">
        <v>61</v>
      </c>
      <c r="B186" s="223">
        <f t="shared" si="199"/>
        <v>41.338582677165348</v>
      </c>
      <c r="C186" s="55" t="s">
        <v>22</v>
      </c>
      <c r="D186" s="55"/>
      <c r="E186" s="55"/>
      <c r="F186" s="55"/>
      <c r="G186" s="56"/>
      <c r="H186" s="209"/>
      <c r="I186" s="126" t="str">
        <f>A186</f>
        <v>Venus</v>
      </c>
      <c r="J186" s="229"/>
      <c r="K186" s="119"/>
      <c r="L186" s="119"/>
      <c r="M186" s="95"/>
      <c r="N186" s="265"/>
      <c r="O186" s="169"/>
      <c r="P186" s="169">
        <v>65</v>
      </c>
      <c r="Q186" s="169">
        <v>23</v>
      </c>
      <c r="R186" s="169">
        <v>12.2</v>
      </c>
      <c r="S186" s="169"/>
      <c r="T186" s="169">
        <v>21.1</v>
      </c>
      <c r="U186" s="169">
        <v>57.2</v>
      </c>
      <c r="V186" s="181">
        <f>StorS-StorS/6</f>
        <v>47.666666666666671</v>
      </c>
      <c r="W186" s="181">
        <f>StorS-StorS/6*1.9</f>
        <v>39.086666666666673</v>
      </c>
      <c r="X186" s="169"/>
      <c r="Y186" s="169">
        <v>18</v>
      </c>
      <c r="Z186" s="169"/>
      <c r="AA186" s="169"/>
      <c r="AB186" s="169"/>
      <c r="AC186" s="169"/>
      <c r="AD186" s="169"/>
      <c r="AE186" s="263">
        <v>11.85</v>
      </c>
      <c r="AF186" s="296"/>
      <c r="AG186" s="377"/>
      <c r="AH186" s="296"/>
      <c r="AI186" s="377"/>
      <c r="AJ186" s="296" t="s">
        <v>237</v>
      </c>
      <c r="AK186" s="47">
        <f>VLOOKUP(AJ186,Skrogform!$1:$1048576,3,FALSE)</f>
        <v>0.98</v>
      </c>
      <c r="AL186" s="57">
        <v>12.6</v>
      </c>
      <c r="AM186" s="57">
        <v>11.66</v>
      </c>
      <c r="AN186" s="57">
        <v>3.65</v>
      </c>
      <c r="AO186" s="57">
        <v>1.9</v>
      </c>
      <c r="AP186" s="57">
        <v>17.399999999999999</v>
      </c>
      <c r="AQ186" s="57">
        <v>4.5</v>
      </c>
      <c r="AR186" s="57">
        <v>0.8</v>
      </c>
      <c r="AS186" s="281">
        <v>40</v>
      </c>
      <c r="AT186" s="281">
        <v>200</v>
      </c>
      <c r="AU186" s="281">
        <f>ROUND(Depl*10,-2)</f>
        <v>200</v>
      </c>
      <c r="AV186" s="281">
        <f>ROUND(Depl*10,-2)</f>
        <v>200</v>
      </c>
      <c r="AW186" s="270">
        <f>Depl+Diesel/1000+Vann/1000</f>
        <v>17.799999999999997</v>
      </c>
      <c r="AX186" s="281"/>
      <c r="AY186" s="98">
        <f>Bredde/(Loa+Lwl)*2</f>
        <v>0.30090684253915911</v>
      </c>
      <c r="AZ186" s="98">
        <f>(Kjøl+Ballast)/Depl</f>
        <v>0.3045977011494253</v>
      </c>
      <c r="BA186" s="288">
        <f>BA$7*((Depl-Kjøl-Ballast-VektMotor/1000-VektAnnet/1000)/Loa/Lwl/Bredde)</f>
        <v>0.96017659297353208</v>
      </c>
      <c r="BB186" s="98">
        <f>BB$7*(Depl/Loa/Lwl/Lwl)</f>
        <v>0.76272812637588339</v>
      </c>
      <c r="BC186" s="178">
        <f>BC$7*(Depl/Loa/Lwl/Bredde)</f>
        <v>0.90063280013881619</v>
      </c>
      <c r="BD186" s="98">
        <f>BD$7*Bredde/(Loa+Lwl)*2</f>
        <v>0.85839339059826791</v>
      </c>
      <c r="BE186" s="98">
        <f>BE$7*(Dypg/Lwl)</f>
        <v>0.89126705943769102</v>
      </c>
      <c r="BF186" s="58" t="s">
        <v>42</v>
      </c>
      <c r="BG186" s="296">
        <v>4</v>
      </c>
      <c r="BH186" s="296">
        <v>50</v>
      </c>
      <c r="BI186" s="47">
        <f t="shared" si="1370"/>
        <v>0.98149201307666778</v>
      </c>
      <c r="BJ186" s="61"/>
      <c r="BK186" s="61"/>
      <c r="BM186" s="214"/>
      <c r="BN186" s="214" t="str">
        <f>$A186</f>
        <v>Venus</v>
      </c>
      <c r="BO186" s="10"/>
      <c r="BP186" s="10"/>
      <c r="BQ186" s="10"/>
      <c r="BR186" s="10"/>
      <c r="BS186" s="52"/>
      <c r="BT186" s="214" t="str">
        <f>$A186</f>
        <v>Venus</v>
      </c>
      <c r="BU186" s="10"/>
      <c r="BV186" s="10"/>
      <c r="BW186" s="10"/>
      <c r="BX186" s="10"/>
      <c r="BY186" s="10"/>
      <c r="BZ186" s="10"/>
      <c r="CA186" s="10"/>
      <c r="CB186" s="10"/>
      <c r="CC186" s="10"/>
      <c r="CD186" s="214"/>
      <c r="CE186" s="10"/>
      <c r="CF186" s="214" t="str">
        <f>$A186</f>
        <v>Venus</v>
      </c>
      <c r="CG186" s="212"/>
      <c r="CH186" s="212"/>
      <c r="CI186" s="119"/>
      <c r="CJ186" s="212"/>
      <c r="CK186" s="208"/>
      <c r="CL186" s="208" t="s">
        <v>26</v>
      </c>
      <c r="CM186" s="110" t="str">
        <f t="shared" si="1189"/>
        <v>-</v>
      </c>
      <c r="CN186" s="64" t="str">
        <f>IF(SeilBeregnet=0,"-",(SeilBeregnet)^(1/2)*StHfaktor/(Depl+DeplTillegg/1000+Vann/1000+Diesel/1000*0.84)^(1/3))</f>
        <v>-</v>
      </c>
      <c r="CO186" s="64" t="str">
        <f t="shared" si="1140"/>
        <v>-</v>
      </c>
      <c r="CP186" s="64" t="str">
        <f t="shared" si="1141"/>
        <v>-</v>
      </c>
      <c r="CQ186" s="110" t="str">
        <f t="shared" si="1142"/>
        <v>-</v>
      </c>
      <c r="CR186" s="172">
        <f t="shared" si="1297"/>
        <v>1.0249411764705882</v>
      </c>
      <c r="CS186" s="162">
        <v>0.99</v>
      </c>
      <c r="CT186" s="172" t="str">
        <f t="shared" si="1373"/>
        <v>-</v>
      </c>
      <c r="CU186" s="164">
        <v>1.27</v>
      </c>
      <c r="CV186" s="195" t="s">
        <v>145</v>
      </c>
      <c r="CW186" s="30" t="s">
        <v>26</v>
      </c>
      <c r="CX186" s="30" t="s">
        <v>26</v>
      </c>
      <c r="CY186" s="30" t="s">
        <v>26</v>
      </c>
      <c r="CZ186" s="153">
        <v>2022</v>
      </c>
      <c r="DA186" s="64" t="str">
        <f t="shared" si="1397"/>
        <v>-</v>
      </c>
      <c r="DB186" s="49">
        <f t="shared" si="1398"/>
        <v>11.649294911097483</v>
      </c>
      <c r="DC186" s="50">
        <f t="shared" si="1399"/>
        <v>0</v>
      </c>
      <c r="DE186" s="110" t="str">
        <f>IF(SeilBeregnet=0,"-",DE$7*(DG:DG+DE$6)*DL:DL*PropF+ErfaringsF+Dyp_F)</f>
        <v>-</v>
      </c>
      <c r="DF186" s="144" t="str">
        <f t="shared" ref="DF186:DF202" si="1512">IF($DQ186=0,"-",(DE186-$DO186)*100)</f>
        <v>-</v>
      </c>
      <c r="DG186" s="110">
        <f t="shared" si="1400"/>
        <v>4.7467919243667955</v>
      </c>
      <c r="DH186" s="136">
        <f>IF(SeilBeregnet=0,DH55,(SeilBeregnet^0.5/(Depl^0.3333))^DH$3*DH$7)</f>
        <v>2.8181964459212718</v>
      </c>
      <c r="DI186" s="136">
        <f>IF(SeilBeregnet=0,DI55,(SeilBeregnet^0.5/Lwl)^DI$3*DI$7)</f>
        <v>0</v>
      </c>
      <c r="DJ186" s="136">
        <f>IF(SeilBeregnet=0,DJ55,(0.1*Loa/Depl^0.3333)^DJ$3*DJ$7)</f>
        <v>0</v>
      </c>
      <c r="DK186" s="136">
        <f>IF(SeilBeregnet=0,DK55,((Loa)/Bredde)^DK$3*DK$7)</f>
        <v>1.9285954784455239</v>
      </c>
      <c r="DL186" s="110">
        <f>IF(SeilBeregnet=0,DL55,(Lwl)^DL$3)</f>
        <v>1.878418417945126</v>
      </c>
      <c r="DM186" s="136">
        <f>IF(SeilBeregnet=0,DM55,(Dypg/Loa)^DM$3*5*DM$7)</f>
        <v>2.0038371012863347</v>
      </c>
      <c r="DO186" s="110" t="str">
        <f t="shared" si="344"/>
        <v>-</v>
      </c>
      <c r="DP186" s="110" t="str">
        <f t="shared" si="1401"/>
        <v>-</v>
      </c>
      <c r="DR186" s="110" t="str">
        <f t="shared" si="1402"/>
        <v>-</v>
      </c>
      <c r="DS186" s="125" t="str">
        <f t="shared" ref="DS186:DS202" si="1513">IF($DQ186=0,"-",DR186-$DO186)</f>
        <v>-</v>
      </c>
      <c r="DT186" s="110" t="str">
        <f t="shared" si="1403"/>
        <v>-</v>
      </c>
      <c r="DU186" s="125" t="str">
        <f t="shared" ref="DU186:DU202" si="1514">IF($DQ186=0,"-",DT186-$DO186)</f>
        <v>-</v>
      </c>
      <c r="DV186" s="110">
        <f t="shared" si="214"/>
        <v>2.9371369253434212</v>
      </c>
      <c r="DW186" s="110">
        <f t="shared" si="215"/>
        <v>2.2892388590912591</v>
      </c>
      <c r="DX186" s="110">
        <f t="shared" si="1341"/>
        <v>1.5875820080316205</v>
      </c>
      <c r="DZ186" s="110" t="str">
        <f t="shared" si="1404"/>
        <v>-</v>
      </c>
      <c r="EB186" s="110">
        <f t="shared" si="217"/>
        <v>2.9371369253434212</v>
      </c>
      <c r="EC186" s="110">
        <f t="shared" si="1342"/>
        <v>2.2894095217983113</v>
      </c>
      <c r="ED186" s="110">
        <f t="shared" si="1343"/>
        <v>1.8519167499625264</v>
      </c>
      <c r="EE186" s="110" t="str">
        <f t="shared" si="1405"/>
        <v>-</v>
      </c>
      <c r="EG186" s="110">
        <f t="shared" si="1344"/>
        <v>4.6629457378005288</v>
      </c>
      <c r="EH186" s="110">
        <f t="shared" si="219"/>
        <v>2.9371369253434212</v>
      </c>
      <c r="EI186" s="110">
        <f t="shared" si="1345"/>
        <v>1.5875820080316205</v>
      </c>
      <c r="EJ186" s="110">
        <f t="shared" si="1346"/>
        <v>1.8612097182041991</v>
      </c>
      <c r="EK186" s="110" t="str">
        <f>IF(SeilBeregnet=0,"-",EK$7*(EK$4*EM:EM+EK$6)*EP:EP*PropF+ErfaringsF+Dyp_F)</f>
        <v>-</v>
      </c>
      <c r="EM186" s="110">
        <f>IF(SeilBeregnet=0,EM185,(EN:EN*EO:EO)^EM$3)</f>
        <v>1.7260814073044743</v>
      </c>
      <c r="EN186" s="110">
        <f t="shared" si="220"/>
        <v>2.9371369253434212</v>
      </c>
      <c r="EO186" s="110">
        <f t="shared" si="1347"/>
        <v>1.0143745764572543</v>
      </c>
      <c r="EP186" s="110">
        <f t="shared" si="1348"/>
        <v>1.8773991690387828</v>
      </c>
      <c r="EQ186" s="110" t="str">
        <f>IF(SeilBeregnet=0,"-",EQ$7*(ES:ES+EQ$6)*EV:EV*PropF+ErfaringsF+Dyp_F)</f>
        <v>-</v>
      </c>
      <c r="ES186" s="110">
        <f>(ET:ET*EU:EU)^ES$3</f>
        <v>1.7261562441810334</v>
      </c>
      <c r="ET186" s="110">
        <f t="shared" si="221"/>
        <v>2.9373916189141913</v>
      </c>
      <c r="EU186" s="110">
        <f t="shared" si="1349"/>
        <v>1.0143745764572543</v>
      </c>
      <c r="EV186" s="110">
        <f t="shared" si="1350"/>
        <v>1.8773991690387828</v>
      </c>
      <c r="EW186" s="110" t="str">
        <f>IF(SeilBeregnet=0,"-",EW$7*(EY:EY+EW$6)*FB:FB*PropF+ErfaringsF+Dyp_F)</f>
        <v>-</v>
      </c>
      <c r="EX186" s="144" t="str">
        <f t="shared" si="1246"/>
        <v>-</v>
      </c>
      <c r="EY186" s="110">
        <f>(EZ:EZ*FA:FA)^EY$3</f>
        <v>3.0224460884084912</v>
      </c>
      <c r="EZ186" s="136">
        <f t="shared" si="1352"/>
        <v>2.9373916189141913</v>
      </c>
      <c r="FA186" s="136">
        <f t="shared" si="1353"/>
        <v>1.0289557813628338</v>
      </c>
      <c r="FB186" s="110">
        <f t="shared" si="1354"/>
        <v>1.0557391366285294</v>
      </c>
      <c r="FC186" s="110" t="str">
        <f>IF(SeilBeregnet=0,"-",FC$7*(FE:FE+FC$6)*FI:FI*PropF+ErfaringsF+Dyp_F)</f>
        <v>-</v>
      </c>
      <c r="FD186" s="144" t="str">
        <f t="shared" si="1247"/>
        <v>-</v>
      </c>
      <c r="FE186" s="110">
        <f>(FF:FF+FG:FG+FH:FH)^FE$3+FE$7</f>
        <v>4.9098251412051077</v>
      </c>
      <c r="FF186" s="136">
        <f t="shared" si="1356"/>
        <v>2.9373916189141913</v>
      </c>
      <c r="FG186" s="136">
        <f t="shared" si="1357"/>
        <v>0.64145017993086051</v>
      </c>
      <c r="FH186" s="136">
        <f t="shared" si="1358"/>
        <v>1.8309833423600554</v>
      </c>
      <c r="FI186" s="110">
        <f t="shared" si="1359"/>
        <v>1.8612097182041991</v>
      </c>
      <c r="FJ186" s="110" t="str">
        <f>IF(SeilBeregnet=0,"-",FJ$7*(FL:FL+FJ$6)*FO:FO*PropF+ErfaringsF+Dyp_F)</f>
        <v>-</v>
      </c>
      <c r="FK186" s="144" t="str">
        <f t="shared" si="1248"/>
        <v>-</v>
      </c>
      <c r="FL186" s="110">
        <f>(FM:FM*FN:FN)^FL$3</f>
        <v>5.3783151242199203</v>
      </c>
      <c r="FM186" s="136">
        <f t="shared" si="1361"/>
        <v>2.9373916189141913</v>
      </c>
      <c r="FN186" s="136">
        <f t="shared" si="1362"/>
        <v>1.8309833423600554</v>
      </c>
      <c r="FO186" s="110">
        <f t="shared" si="1363"/>
        <v>1.8612097182041991</v>
      </c>
      <c r="FQ186">
        <v>0.95</v>
      </c>
      <c r="FR186" s="64" t="str">
        <f t="shared" si="1506"/>
        <v>-</v>
      </c>
      <c r="FS186" s="480"/>
      <c r="FT186" s="59"/>
      <c r="FU186" s="475"/>
      <c r="FV186" s="77"/>
      <c r="FW186" s="59"/>
      <c r="FX186" s="59"/>
      <c r="FY186" s="59"/>
      <c r="FZ186" s="59"/>
      <c r="GB186" s="59" t="s">
        <v>522</v>
      </c>
      <c r="GC186" s="475" t="s">
        <v>522</v>
      </c>
      <c r="GD186" s="60" t="s">
        <v>522</v>
      </c>
      <c r="GE186" s="60" t="s">
        <v>522</v>
      </c>
      <c r="GF186" s="60" t="s">
        <v>522</v>
      </c>
      <c r="GG186" s="60" t="s">
        <v>522</v>
      </c>
      <c r="GI186" s="59"/>
      <c r="GJ186" s="59"/>
      <c r="GK186" s="59"/>
      <c r="GL186" s="59"/>
      <c r="GM186" s="59"/>
      <c r="GN186" s="59"/>
      <c r="GO186" s="59"/>
      <c r="GP186" s="59"/>
    </row>
    <row r="187" spans="1:198" ht="15.6" x14ac:dyDescent="0.3">
      <c r="A187" s="62" t="s">
        <v>31</v>
      </c>
      <c r="B187" s="223"/>
      <c r="C187" s="14" t="s">
        <v>22</v>
      </c>
      <c r="G187" s="56"/>
      <c r="H187" s="209">
        <f t="shared" ref="H187:H192" si="1515">TBFavrundet</f>
        <v>104</v>
      </c>
      <c r="I187" s="65">
        <f t="shared" ref="I187:I192" si="1516">COUNTA(O187:AD187)</f>
        <v>4</v>
      </c>
      <c r="J187" s="228">
        <f t="shared" ref="J187:J192" si="1517">SUM(O187:AD187)</f>
        <v>119.30000000000001</v>
      </c>
      <c r="K187" s="119">
        <f t="shared" ref="K187:K192" si="1518">Seilareal/Depl^0.667/K$7</f>
        <v>1.6229212844669936</v>
      </c>
      <c r="L187" s="119">
        <f t="shared" ref="L187:L192" si="1519">Seilareal/Lwl/Lwl/L$7</f>
        <v>1.331436064935835</v>
      </c>
      <c r="M187" s="95">
        <f t="shared" ref="M187:M192" si="1520">RiggF</f>
        <v>0.77560771165129916</v>
      </c>
      <c r="N187" s="265">
        <f t="shared" ref="N187:N192" si="1521">StHfaktor</f>
        <v>1.0020225033387065</v>
      </c>
      <c r="O187" s="147"/>
      <c r="P187" s="147"/>
      <c r="Q187" s="169">
        <v>23</v>
      </c>
      <c r="R187" s="147"/>
      <c r="S187" s="147"/>
      <c r="T187" s="169">
        <v>21.1</v>
      </c>
      <c r="U187" s="169">
        <v>57.2</v>
      </c>
      <c r="V187" s="148"/>
      <c r="W187" s="148"/>
      <c r="X187" s="148"/>
      <c r="Y187" s="169">
        <v>18</v>
      </c>
      <c r="Z187" s="147"/>
      <c r="AA187" s="147"/>
      <c r="AB187" s="147"/>
      <c r="AC187" s="147"/>
      <c r="AD187" s="148"/>
      <c r="AE187" s="260">
        <f t="shared" ref="AE187:AL187" si="1522">AE186</f>
        <v>11.85</v>
      </c>
      <c r="AF187" s="375">
        <f t="shared" ref="AF187:AH192" si="1523" xml:space="preserve"> AF186</f>
        <v>0</v>
      </c>
      <c r="AG187" s="377"/>
      <c r="AH187" s="375">
        <f t="shared" si="1523"/>
        <v>0</v>
      </c>
      <c r="AI187" s="377"/>
      <c r="AJ187" s="295" t="str">
        <f t="shared" ref="AJ187" si="1524" xml:space="preserve"> AJ186</f>
        <v>Lystb</v>
      </c>
      <c r="AK187" s="47">
        <f>VLOOKUP(AJ187,Skrogform!$1:$1048576,3,FALSE)</f>
        <v>0.98</v>
      </c>
      <c r="AL187" s="66">
        <f t="shared" si="1522"/>
        <v>12.6</v>
      </c>
      <c r="AM187" s="66">
        <f t="shared" ref="AM187" si="1525">AM186</f>
        <v>11.66</v>
      </c>
      <c r="AN187" s="66">
        <f t="shared" ref="AN187" si="1526">AN186</f>
        <v>3.65</v>
      </c>
      <c r="AO187" s="66">
        <f t="shared" ref="AO187" si="1527">AO186</f>
        <v>1.9</v>
      </c>
      <c r="AP187" s="66">
        <f t="shared" ref="AP187" si="1528">AP186</f>
        <v>17.399999999999999</v>
      </c>
      <c r="AQ187" s="66">
        <f t="shared" ref="AQ187" si="1529">AQ186</f>
        <v>4.5</v>
      </c>
      <c r="AR187" s="66">
        <f t="shared" ref="AR187:AT187" si="1530">AR186</f>
        <v>0.8</v>
      </c>
      <c r="AS187" s="284">
        <f t="shared" si="1530"/>
        <v>40</v>
      </c>
      <c r="AT187" s="284">
        <f t="shared" si="1530"/>
        <v>200</v>
      </c>
      <c r="AU187" s="284">
        <f t="shared" ref="AU187:AV187" si="1531">AU186</f>
        <v>200</v>
      </c>
      <c r="AV187" s="284">
        <f t="shared" si="1531"/>
        <v>200</v>
      </c>
      <c r="AW187" s="284"/>
      <c r="AX187" s="284">
        <f t="shared" ref="AX187:AX192" si="1532">AX186</f>
        <v>0</v>
      </c>
      <c r="AY187" s="68"/>
      <c r="AZ187" s="68"/>
      <c r="BA187" s="289"/>
      <c r="BB187" s="68"/>
      <c r="BC187" s="179"/>
      <c r="BD187" s="68"/>
      <c r="BE187" s="68"/>
      <c r="BF187" s="67" t="str">
        <f t="shared" ref="BF187:BH187" si="1533" xml:space="preserve"> BF186</f>
        <v>Fast</v>
      </c>
      <c r="BG187" s="295">
        <f t="shared" si="1533"/>
        <v>4</v>
      </c>
      <c r="BH187" s="295">
        <f t="shared" si="1533"/>
        <v>50</v>
      </c>
      <c r="BI187" s="47">
        <f t="shared" si="1370"/>
        <v>0.98149201307666778</v>
      </c>
      <c r="BJ187" s="61"/>
      <c r="BK187" s="61"/>
      <c r="BM187" s="51">
        <f t="shared" ref="BM187:BR192" si="1534">IF(O187=0,0,O187*BM$9)</f>
        <v>0</v>
      </c>
      <c r="BN187" s="51">
        <f t="shared" si="1534"/>
        <v>0</v>
      </c>
      <c r="BO187" s="51">
        <f t="shared" si="1534"/>
        <v>23</v>
      </c>
      <c r="BP187" s="51">
        <f t="shared" si="1534"/>
        <v>0</v>
      </c>
      <c r="BQ187" s="51">
        <f t="shared" si="1534"/>
        <v>0</v>
      </c>
      <c r="BR187" s="51">
        <f t="shared" si="1534"/>
        <v>21.1</v>
      </c>
      <c r="BS187" s="52">
        <f t="shared" ref="BS187:BS192" si="1535">IF(COUNT(P187:T187)&gt;1,MINA(P187:T187)*BS$9,0)</f>
        <v>-6.33</v>
      </c>
      <c r="BT187" s="88">
        <f t="shared" ref="BT187:CC192" si="1536">IF(U187=0,0,U187*BT$9)</f>
        <v>45.760000000000005</v>
      </c>
      <c r="BU187" s="88">
        <f t="shared" si="1536"/>
        <v>0</v>
      </c>
      <c r="BV187" s="88">
        <f t="shared" si="1536"/>
        <v>0</v>
      </c>
      <c r="BW187" s="88">
        <f t="shared" si="1536"/>
        <v>0</v>
      </c>
      <c r="BX187" s="88">
        <f t="shared" si="1536"/>
        <v>9</v>
      </c>
      <c r="BY187" s="88">
        <f t="shared" si="1536"/>
        <v>0</v>
      </c>
      <c r="BZ187" s="88">
        <f t="shared" si="1536"/>
        <v>0</v>
      </c>
      <c r="CA187" s="88">
        <f t="shared" si="1536"/>
        <v>0</v>
      </c>
      <c r="CB187" s="88">
        <f t="shared" si="1536"/>
        <v>0</v>
      </c>
      <c r="CC187" s="88">
        <f t="shared" si="1536"/>
        <v>0</v>
      </c>
      <c r="CD187" s="103">
        <f t="shared" ref="CD187:CD192" si="1537">SUM(BM187:CC187)</f>
        <v>92.53</v>
      </c>
      <c r="CE187" s="52"/>
      <c r="CF187" s="107">
        <f t="shared" ref="CF187:CF192" si="1538">J187</f>
        <v>119.30000000000001</v>
      </c>
      <c r="CG187" s="104">
        <f t="shared" ref="CG187:CG190" si="1539">CD187/CF187</f>
        <v>0.77560771165129916</v>
      </c>
      <c r="CH187" s="53">
        <f t="shared" ref="CH187:CH192" si="1540">Seilareal/Lwl/Lwl</f>
        <v>0.8774923577991639</v>
      </c>
      <c r="CI187" s="119">
        <f t="shared" ref="CI187:CI192" si="1541">Seilareal/Depl^0.667/K$7</f>
        <v>1.6229212844669936</v>
      </c>
      <c r="CJ187" s="53">
        <f t="shared" ref="CJ187:CJ192" si="1542">Seilareal/Lwl/Lwl/SApRS1</f>
        <v>1.331436064935835</v>
      </c>
      <c r="CK187" s="209"/>
      <c r="CL187" s="209">
        <f t="shared" ref="CL187:CL192" si="1543">(ROUND(TBF/CL$6,3)*CL$6)*CL$4</f>
        <v>104</v>
      </c>
      <c r="CM187" s="110">
        <f t="shared" si="1189"/>
        <v>1.0416903076765882</v>
      </c>
      <c r="CN187" s="64">
        <f>IF(SeilBeregnet=0,"-",(SeilBeregnet)^(1/2)*StHfaktor/(Depl+DeplTillegg/1000+Vann/1000+Diesel/1000*0.84)^(1/3))</f>
        <v>3.6800369257344081</v>
      </c>
      <c r="CO187" s="64">
        <f t="shared" si="1140"/>
        <v>1.8229886645925357</v>
      </c>
      <c r="CP187" s="64">
        <f t="shared" si="1141"/>
        <v>1.8478837127354022</v>
      </c>
      <c r="CQ187" s="110">
        <f t="shared" si="1142"/>
        <v>1.0020225033387065</v>
      </c>
      <c r="CR187" s="172">
        <f t="shared" si="1297"/>
        <v>1.0249411764705882</v>
      </c>
      <c r="CS187" s="162">
        <v>0.99</v>
      </c>
      <c r="CT187" s="172">
        <f t="shared" si="1373"/>
        <v>0.98035087719298253</v>
      </c>
      <c r="CU187" s="164">
        <v>1.27</v>
      </c>
      <c r="CV187" s="195" t="s">
        <v>145</v>
      </c>
      <c r="CW187" s="64">
        <v>0.99</v>
      </c>
      <c r="CX187" s="64">
        <v>0.94</v>
      </c>
      <c r="CY187" s="64">
        <v>1</v>
      </c>
      <c r="CZ187" s="154" t="s">
        <v>111</v>
      </c>
      <c r="DA187" s="64">
        <f t="shared" si="1397"/>
        <v>1.9148737503548841</v>
      </c>
      <c r="DB187" s="49">
        <f t="shared" si="1398"/>
        <v>11.649294911097483</v>
      </c>
      <c r="DC187" s="50">
        <f t="shared" si="1399"/>
        <v>0</v>
      </c>
      <c r="DE187" s="110">
        <f>IF(SeilBeregnet=0,"-",DE$7*(DG:DG+DE$6)*DL:DL*PropF+ErfaringsF+Dyp_F)</f>
        <v>1.0204095273458771</v>
      </c>
      <c r="DF187" s="144" t="str">
        <f t="shared" si="1512"/>
        <v>-</v>
      </c>
      <c r="DG187" s="110">
        <f t="shared" si="1400"/>
        <v>5.5704685115778947</v>
      </c>
      <c r="DH187" s="136">
        <f t="shared" ref="DH187:DH192" si="1544">IF(SeilBeregnet=0,DH186,(SeilBeregnet^0.5/(Depl^0.3333))^DH$3*DH$7)</f>
        <v>3.7124978997218974</v>
      </c>
      <c r="DI187" s="136">
        <f t="shared" ref="DI187:DI192" si="1545">IF(SeilBeregnet=0,DI186,(SeilBeregnet^0.5/Lwl)^DI$3*DI$7)</f>
        <v>0</v>
      </c>
      <c r="DJ187" s="136">
        <f t="shared" ref="DJ187:DJ192" si="1546">IF(SeilBeregnet=0,DJ186,(0.1*Loa/Depl^0.3333)^DJ$3*DJ$7)</f>
        <v>0</v>
      </c>
      <c r="DK187" s="136">
        <f t="shared" ref="DK187:DK192" si="1547">IF(SeilBeregnet=0,DK186,((Loa)/Bredde)^DK$3*DK$7)</f>
        <v>1.8579706118559971</v>
      </c>
      <c r="DL187" s="110">
        <f t="shared" ref="DL187:DL192" si="1548">IF(SeilBeregnet=0,DL186,(Lwl)^DL$3)</f>
        <v>1.8478837127354022</v>
      </c>
      <c r="DM187" s="136">
        <f t="shared" ref="DM187:DM192" si="1549">IF(SeilBeregnet=0,DM186,(Dypg/Loa)^DM$3*5*DM$7)</f>
        <v>1.9416079083690583</v>
      </c>
      <c r="DO187" s="110">
        <f t="shared" si="344"/>
        <v>1.0629492935475389</v>
      </c>
      <c r="DP187" s="110">
        <f t="shared" si="1401"/>
        <v>1.0212216819669815</v>
      </c>
      <c r="DR187" s="110">
        <f t="shared" si="1402"/>
        <v>1.0197859729443477</v>
      </c>
      <c r="DS187" s="125" t="str">
        <f t="shared" si="1513"/>
        <v>-</v>
      </c>
      <c r="DT187" s="110">
        <f t="shared" si="1403"/>
        <v>1.0568538218705208</v>
      </c>
      <c r="DU187" s="125" t="str">
        <f t="shared" si="1514"/>
        <v>-</v>
      </c>
      <c r="DV187" s="110">
        <f t="shared" si="214"/>
        <v>3.712179774163598</v>
      </c>
      <c r="DW187" s="110">
        <f t="shared" si="215"/>
        <v>2.2674129716058933</v>
      </c>
      <c r="DX187" s="110">
        <f t="shared" si="1341"/>
        <v>1.6056448217209125</v>
      </c>
      <c r="DZ187" s="110">
        <f t="shared" si="1404"/>
        <v>1.0484284797371062</v>
      </c>
      <c r="EB187" s="110">
        <f t="shared" si="217"/>
        <v>3.712179774163598</v>
      </c>
      <c r="EC187" s="110">
        <f t="shared" si="1342"/>
        <v>2.2675800519171947</v>
      </c>
      <c r="ED187" s="110">
        <f t="shared" si="1343"/>
        <v>1.8800607846552968</v>
      </c>
      <c r="EE187" s="110">
        <f t="shared" si="1405"/>
        <v>1.0394218057176132</v>
      </c>
      <c r="EG187" s="110">
        <f t="shared" si="1344"/>
        <v>5.9604422316828876</v>
      </c>
      <c r="EH187" s="110">
        <f t="shared" si="219"/>
        <v>3.712179774163598</v>
      </c>
      <c r="EI187" s="110">
        <f t="shared" si="1345"/>
        <v>1.6056448217209125</v>
      </c>
      <c r="EJ187" s="110">
        <f t="shared" si="1346"/>
        <v>1.8478837127354022</v>
      </c>
      <c r="EK187" s="110">
        <f>IF(SeilBeregnet=0,"-",EK$7*(EK$4*EM:EM+EK$6)*EP:EP*PropF+ErfaringsF+Dyp_F)</f>
        <v>1.0282574405861682</v>
      </c>
      <c r="EM187" s="110">
        <f>IF(SeilBeregnet=0,EM186,(EN:EN*EO:EO)^EM$3)</f>
        <v>1.9515079969582612</v>
      </c>
      <c r="EN187" s="110">
        <f t="shared" si="220"/>
        <v>3.712179774163598</v>
      </c>
      <c r="EO187" s="110">
        <f t="shared" si="1347"/>
        <v>1.0259156867073127</v>
      </c>
      <c r="EP187" s="110">
        <f t="shared" si="1348"/>
        <v>1.8589566686871406</v>
      </c>
      <c r="EQ187" s="110">
        <f>IF(SeilBeregnet=0,"-",EQ$7*(ES:ES+EQ$6)*EV:EV*PropF+ErfaringsF+Dyp_F)</f>
        <v>0.97436784361442885</v>
      </c>
      <c r="ES187" s="110">
        <f>(ET:ET*EU:EU)^ES$3</f>
        <v>1.9515916151164019</v>
      </c>
      <c r="ET187" s="110">
        <f t="shared" si="221"/>
        <v>3.7124978997218974</v>
      </c>
      <c r="EU187" s="110">
        <f t="shared" si="1349"/>
        <v>1.0259156867073127</v>
      </c>
      <c r="EV187" s="110">
        <f t="shared" si="1350"/>
        <v>1.8589566686871406</v>
      </c>
      <c r="EW187" s="110">
        <f>IF(SeilBeregnet=0,"-",EW$7*(EY:EY+EW$6)*FB:FB*PropF+ErfaringsF+Dyp_F)</f>
        <v>1.0364530654577493</v>
      </c>
      <c r="EX187" s="144" t="str">
        <f t="shared" si="1246"/>
        <v>-</v>
      </c>
      <c r="EY187" s="110">
        <f>(EZ:EZ*FA:FA)^EY$3</f>
        <v>3.907415162962812</v>
      </c>
      <c r="EZ187" s="136">
        <f t="shared" si="1352"/>
        <v>3.7124978997218974</v>
      </c>
      <c r="FA187" s="136">
        <f t="shared" si="1353"/>
        <v>1.0525029962321368</v>
      </c>
      <c r="FB187" s="110">
        <f t="shared" si="1354"/>
        <v>1.0453681565409634</v>
      </c>
      <c r="FC187" s="110">
        <f>IF(SeilBeregnet=0,"-",FC$7*(FE:FE+FC$6)*FI:FI*PropF+ErfaringsF+Dyp_F)</f>
        <v>1.026477406800796</v>
      </c>
      <c r="FD187" s="144" t="str">
        <f t="shared" si="1247"/>
        <v>-</v>
      </c>
      <c r="FE187" s="110">
        <f>(FF:FF+FG:FG+FH:FH)^FE$3+FE$7</f>
        <v>5.8954472019839628</v>
      </c>
      <c r="FF187" s="136">
        <f t="shared" si="1356"/>
        <v>3.7124978997218974</v>
      </c>
      <c r="FG187" s="136">
        <f t="shared" si="1357"/>
        <v>0.82497869040606897</v>
      </c>
      <c r="FH187" s="136">
        <f t="shared" si="1358"/>
        <v>1.8579706118559971</v>
      </c>
      <c r="FI187" s="110">
        <f t="shared" si="1359"/>
        <v>1.8478837127354022</v>
      </c>
      <c r="FJ187" s="110">
        <f>IF(SeilBeregnet=0,"-",FJ$7*(FL:FL+FJ$6)*FO:FO*PropF+ErfaringsF+Dyp_F)</f>
        <v>1.0277797986933364</v>
      </c>
      <c r="FK187" s="144" t="str">
        <f t="shared" si="1248"/>
        <v>-</v>
      </c>
      <c r="FL187" s="110">
        <f>(FM:FM*FN:FN)^FL$3</f>
        <v>6.8977119942603977</v>
      </c>
      <c r="FM187" s="136">
        <f t="shared" si="1361"/>
        <v>3.7124978997218974</v>
      </c>
      <c r="FN187" s="136">
        <f t="shared" si="1362"/>
        <v>1.8579706118559971</v>
      </c>
      <c r="FO187" s="110">
        <f t="shared" si="1363"/>
        <v>1.8478837127354022</v>
      </c>
      <c r="FQ187">
        <v>0.95</v>
      </c>
      <c r="FR187" s="64">
        <f t="shared" si="1506"/>
        <v>1.2333666237323402</v>
      </c>
      <c r="FS187" s="479"/>
      <c r="FT187" s="18"/>
      <c r="FU187" s="481"/>
      <c r="FV187" s="504"/>
      <c r="FW187" s="18"/>
      <c r="FX187" s="18"/>
      <c r="FY187" s="18"/>
      <c r="FZ187" s="18"/>
      <c r="GB187" s="18"/>
      <c r="GC187" s="481"/>
      <c r="GD187" s="8"/>
      <c r="GE187" s="8"/>
      <c r="GF187" s="8"/>
      <c r="GG187" s="8"/>
      <c r="GI187" s="18"/>
      <c r="GJ187" s="18"/>
      <c r="GK187" s="18"/>
      <c r="GL187" s="18"/>
      <c r="GM187" s="18"/>
      <c r="GN187" s="18"/>
      <c r="GO187" s="18"/>
      <c r="GP187" s="18"/>
    </row>
    <row r="188" spans="1:198" ht="15.6" x14ac:dyDescent="0.3">
      <c r="A188" s="62" t="s">
        <v>32</v>
      </c>
      <c r="B188" s="223"/>
      <c r="C188" s="14" t="s">
        <v>22</v>
      </c>
      <c r="G188" s="56"/>
      <c r="H188" s="209">
        <f t="shared" si="1515"/>
        <v>100.50000000000001</v>
      </c>
      <c r="I188" s="65">
        <f t="shared" si="1516"/>
        <v>3</v>
      </c>
      <c r="J188" s="228">
        <f t="shared" si="1517"/>
        <v>101.30000000000001</v>
      </c>
      <c r="K188" s="119">
        <f t="shared" si="1518"/>
        <v>1.3780547034074306</v>
      </c>
      <c r="L188" s="119">
        <f t="shared" si="1519"/>
        <v>1.1305488128918699</v>
      </c>
      <c r="M188" s="95">
        <f t="shared" si="1520"/>
        <v>0.8245804540967423</v>
      </c>
      <c r="N188" s="265">
        <f t="shared" si="1521"/>
        <v>1.0020225033387065</v>
      </c>
      <c r="O188" s="147"/>
      <c r="P188" s="147"/>
      <c r="Q188" s="169">
        <v>23</v>
      </c>
      <c r="R188" s="147"/>
      <c r="S188" s="147"/>
      <c r="T188" s="169">
        <v>21.1</v>
      </c>
      <c r="U188" s="169">
        <v>57.2</v>
      </c>
      <c r="V188" s="148"/>
      <c r="W188" s="148"/>
      <c r="X188" s="148"/>
      <c r="Y188" s="147"/>
      <c r="Z188" s="147"/>
      <c r="AA188" s="147"/>
      <c r="AB188" s="147"/>
      <c r="AC188" s="147"/>
      <c r="AD188" s="148"/>
      <c r="AE188" s="260">
        <f t="shared" ref="AE188:AL192" si="1550">AE187</f>
        <v>11.85</v>
      </c>
      <c r="AF188" s="375">
        <f t="shared" si="1523"/>
        <v>0</v>
      </c>
      <c r="AG188" s="377"/>
      <c r="AH188" s="375">
        <f t="shared" si="1523"/>
        <v>0</v>
      </c>
      <c r="AI188" s="377"/>
      <c r="AJ188" s="295" t="str">
        <f t="shared" ref="AJ188" si="1551" xml:space="preserve"> AJ187</f>
        <v>Lystb</v>
      </c>
      <c r="AK188" s="47">
        <f>VLOOKUP(AJ188,Skrogform!$1:$1048576,3,FALSE)</f>
        <v>0.98</v>
      </c>
      <c r="AL188" s="66">
        <f t="shared" si="1550"/>
        <v>12.6</v>
      </c>
      <c r="AM188" s="66">
        <f t="shared" ref="AM188:AM192" si="1552">AM187</f>
        <v>11.66</v>
      </c>
      <c r="AN188" s="66">
        <f t="shared" ref="AN188:AN192" si="1553">AN187</f>
        <v>3.65</v>
      </c>
      <c r="AO188" s="66">
        <f t="shared" ref="AO188:AO192" si="1554">AO187</f>
        <v>1.9</v>
      </c>
      <c r="AP188" s="66">
        <f t="shared" ref="AP188:AP192" si="1555">AP187</f>
        <v>17.399999999999999</v>
      </c>
      <c r="AQ188" s="66">
        <f t="shared" ref="AQ188:AQ192" si="1556">AQ187</f>
        <v>4.5</v>
      </c>
      <c r="AR188" s="66">
        <f t="shared" ref="AR188:AT192" si="1557">AR187</f>
        <v>0.8</v>
      </c>
      <c r="AS188" s="284">
        <f t="shared" si="1557"/>
        <v>40</v>
      </c>
      <c r="AT188" s="284">
        <f t="shared" si="1557"/>
        <v>200</v>
      </c>
      <c r="AU188" s="284">
        <f t="shared" ref="AU188:AV188" si="1558">AU187</f>
        <v>200</v>
      </c>
      <c r="AV188" s="284">
        <f t="shared" si="1558"/>
        <v>200</v>
      </c>
      <c r="AW188" s="284"/>
      <c r="AX188" s="284">
        <f t="shared" si="1532"/>
        <v>0</v>
      </c>
      <c r="AY188" s="68"/>
      <c r="AZ188" s="68"/>
      <c r="BA188" s="289"/>
      <c r="BB188" s="68"/>
      <c r="BC188" s="179"/>
      <c r="BD188" s="68"/>
      <c r="BE188" s="68"/>
      <c r="BF188" s="67" t="str">
        <f t="shared" ref="BF188:BH188" si="1559" xml:space="preserve"> BF187</f>
        <v>Fast</v>
      </c>
      <c r="BG188" s="295">
        <f t="shared" si="1559"/>
        <v>4</v>
      </c>
      <c r="BH188" s="295">
        <f t="shared" si="1559"/>
        <v>50</v>
      </c>
      <c r="BI188" s="47">
        <f t="shared" si="1370"/>
        <v>0.98149201307666778</v>
      </c>
      <c r="BJ188" s="61"/>
      <c r="BK188" s="61"/>
      <c r="BM188" s="51">
        <f t="shared" si="1534"/>
        <v>0</v>
      </c>
      <c r="BN188" s="51">
        <f t="shared" si="1534"/>
        <v>0</v>
      </c>
      <c r="BO188" s="51">
        <f t="shared" si="1534"/>
        <v>23</v>
      </c>
      <c r="BP188" s="51">
        <f t="shared" si="1534"/>
        <v>0</v>
      </c>
      <c r="BQ188" s="51">
        <f t="shared" si="1534"/>
        <v>0</v>
      </c>
      <c r="BR188" s="51">
        <f t="shared" si="1534"/>
        <v>21.1</v>
      </c>
      <c r="BS188" s="52">
        <f t="shared" si="1535"/>
        <v>-6.33</v>
      </c>
      <c r="BT188" s="88">
        <f t="shared" si="1536"/>
        <v>45.760000000000005</v>
      </c>
      <c r="BU188" s="88">
        <f t="shared" si="1536"/>
        <v>0</v>
      </c>
      <c r="BV188" s="88">
        <f t="shared" si="1536"/>
        <v>0</v>
      </c>
      <c r="BW188" s="88">
        <f t="shared" si="1536"/>
        <v>0</v>
      </c>
      <c r="BX188" s="88">
        <f t="shared" si="1536"/>
        <v>0</v>
      </c>
      <c r="BY188" s="88">
        <f t="shared" si="1536"/>
        <v>0</v>
      </c>
      <c r="BZ188" s="88">
        <f t="shared" si="1536"/>
        <v>0</v>
      </c>
      <c r="CA188" s="88">
        <f t="shared" si="1536"/>
        <v>0</v>
      </c>
      <c r="CB188" s="88">
        <f t="shared" si="1536"/>
        <v>0</v>
      </c>
      <c r="CC188" s="88">
        <f t="shared" si="1536"/>
        <v>0</v>
      </c>
      <c r="CD188" s="103">
        <f t="shared" si="1537"/>
        <v>83.53</v>
      </c>
      <c r="CE188" s="52"/>
      <c r="CF188" s="107">
        <f t="shared" si="1538"/>
        <v>101.30000000000001</v>
      </c>
      <c r="CG188" s="104">
        <f t="shared" si="1539"/>
        <v>0.8245804540967423</v>
      </c>
      <c r="CH188" s="53">
        <f t="shared" si="1540"/>
        <v>0.74509619316894637</v>
      </c>
      <c r="CI188" s="119">
        <f t="shared" si="1541"/>
        <v>1.3780547034074306</v>
      </c>
      <c r="CJ188" s="53">
        <f t="shared" si="1542"/>
        <v>1.1305488128918699</v>
      </c>
      <c r="CK188" s="209"/>
      <c r="CL188" s="209">
        <f t="shared" si="1543"/>
        <v>100.50000000000001</v>
      </c>
      <c r="CM188" s="110">
        <f t="shared" si="1189"/>
        <v>1.0069457211569213</v>
      </c>
      <c r="CN188" s="64">
        <f>IF(SeilBeregnet=0,"-",(SeilBeregnet)^(1/2)*StHfaktor/(Depl+DeplTillegg/1000+Vann/1000+Diesel/1000*0.84)^(1/3))</f>
        <v>3.4964887566345992</v>
      </c>
      <c r="CO188" s="64">
        <f t="shared" si="1140"/>
        <v>1.8229886645925357</v>
      </c>
      <c r="CP188" s="64">
        <f t="shared" si="1141"/>
        <v>1.8478837127354022</v>
      </c>
      <c r="CQ188" s="110">
        <f t="shared" si="1142"/>
        <v>1.0020225033387065</v>
      </c>
      <c r="CR188" s="172" t="str">
        <f t="shared" si="1297"/>
        <v>-</v>
      </c>
      <c r="CS188" s="162"/>
      <c r="CT188" s="172" t="str">
        <f t="shared" si="1373"/>
        <v>-</v>
      </c>
      <c r="CU188" s="164"/>
      <c r="CV188" s="195" t="s">
        <v>145</v>
      </c>
      <c r="CW188" s="64">
        <v>0.96</v>
      </c>
      <c r="CX188" s="64">
        <v>0.92</v>
      </c>
      <c r="CY188" s="64">
        <v>0.97</v>
      </c>
      <c r="CZ188" s="154" t="s">
        <v>111</v>
      </c>
      <c r="DA188" s="64">
        <f t="shared" si="1397"/>
        <v>1.9148737503548841</v>
      </c>
      <c r="DB188" s="49">
        <f t="shared" si="1398"/>
        <v>11.649294911097483</v>
      </c>
      <c r="DC188" s="50">
        <f t="shared" si="1399"/>
        <v>0</v>
      </c>
      <c r="DE188" s="110">
        <f>IF(SeilBeregnet=0,"-",DE$7*(DG:DG+DE$6)*DL:DL*PropF+ErfaringsF+Dyp_F)</f>
        <v>0.98649022756773375</v>
      </c>
      <c r="DF188" s="144" t="str">
        <f t="shared" si="1512"/>
        <v>-</v>
      </c>
      <c r="DG188" s="110">
        <f t="shared" si="1400"/>
        <v>5.3853012955872961</v>
      </c>
      <c r="DH188" s="136">
        <f t="shared" si="1544"/>
        <v>3.5273306837312992</v>
      </c>
      <c r="DI188" s="136">
        <f t="shared" si="1545"/>
        <v>0</v>
      </c>
      <c r="DJ188" s="136">
        <f t="shared" si="1546"/>
        <v>0</v>
      </c>
      <c r="DK188" s="136">
        <f t="shared" si="1547"/>
        <v>1.8579706118559971</v>
      </c>
      <c r="DL188" s="110">
        <f t="shared" si="1548"/>
        <v>1.8478837127354022</v>
      </c>
      <c r="DM188" s="136">
        <f t="shared" si="1549"/>
        <v>1.9416079083690583</v>
      </c>
      <c r="DO188" s="110">
        <f t="shared" si="344"/>
        <v>1.0274956338335934</v>
      </c>
      <c r="DP188" s="110">
        <f t="shared" si="1401"/>
        <v>0.98012775369847638</v>
      </c>
      <c r="DR188" s="110">
        <f t="shared" si="1402"/>
        <v>0.98567733834658666</v>
      </c>
      <c r="DS188" s="125" t="str">
        <f t="shared" si="1513"/>
        <v>-</v>
      </c>
      <c r="DT188" s="110">
        <f t="shared" si="1403"/>
        <v>1.0153936323126247</v>
      </c>
      <c r="DU188" s="125" t="str">
        <f t="shared" si="1514"/>
        <v>-</v>
      </c>
      <c r="DV188" s="110">
        <f t="shared" si="214"/>
        <v>3.5270284252322028</v>
      </c>
      <c r="DW188" s="110">
        <f t="shared" si="215"/>
        <v>2.2674129716058933</v>
      </c>
      <c r="DX188" s="110">
        <f t="shared" si="1341"/>
        <v>1.6056448217209125</v>
      </c>
      <c r="DZ188" s="110">
        <f t="shared" si="1404"/>
        <v>1.0107072290569852</v>
      </c>
      <c r="EB188" s="110">
        <f t="shared" si="217"/>
        <v>3.5270284252322028</v>
      </c>
      <c r="EC188" s="110">
        <f t="shared" si="1342"/>
        <v>2.2675800519171947</v>
      </c>
      <c r="ED188" s="110">
        <f t="shared" si="1343"/>
        <v>1.8800607846552968</v>
      </c>
      <c r="EE188" s="110">
        <f t="shared" si="1405"/>
        <v>1.0006039991160456</v>
      </c>
      <c r="EG188" s="110">
        <f t="shared" si="1344"/>
        <v>5.6631549270365511</v>
      </c>
      <c r="EH188" s="110">
        <f t="shared" si="219"/>
        <v>3.5270284252322028</v>
      </c>
      <c r="EI188" s="110">
        <f t="shared" si="1345"/>
        <v>1.6056448217209125</v>
      </c>
      <c r="EJ188" s="110">
        <f t="shared" si="1346"/>
        <v>1.8478837127354022</v>
      </c>
      <c r="EK188" s="110">
        <f>IF(SeilBeregnet=0,"-",EK$7*(EK$4*EM:EM+EK$6)*EP:EP*PropF+ErfaringsF+Dyp_F)</f>
        <v>0.99334018256175094</v>
      </c>
      <c r="EM188" s="110">
        <f>IF(SeilBeregnet=0,EM187,(EN:EN*EO:EO)^EM$3)</f>
        <v>1.9022181233781543</v>
      </c>
      <c r="EN188" s="110">
        <f t="shared" si="220"/>
        <v>3.5270284252322028</v>
      </c>
      <c r="EO188" s="110">
        <f t="shared" si="1347"/>
        <v>1.0259156867073127</v>
      </c>
      <c r="EP188" s="110">
        <f t="shared" si="1348"/>
        <v>1.8589566686871406</v>
      </c>
      <c r="EQ188" s="110">
        <f>IF(SeilBeregnet=0,"-",EQ$7*(ES:ES+EQ$6)*EV:EV*PropF+ErfaringsF+Dyp_F)</f>
        <v>0.94975791738961535</v>
      </c>
      <c r="ES188" s="110">
        <f>(ET:ET*EU:EU)^ES$3</f>
        <v>1.9022996295652193</v>
      </c>
      <c r="ET188" s="110">
        <f t="shared" si="221"/>
        <v>3.5273306837312992</v>
      </c>
      <c r="EU188" s="110">
        <f t="shared" si="1349"/>
        <v>1.0259156867073127</v>
      </c>
      <c r="EV188" s="110">
        <f t="shared" si="1350"/>
        <v>1.8589566686871406</v>
      </c>
      <c r="EW188" s="110">
        <f>IF(SeilBeregnet=0,"-",EW$7*(EY:EY+EW$6)*FB:FB*PropF+ErfaringsF+Dyp_F)</f>
        <v>1.0022598781930725</v>
      </c>
      <c r="EX188" s="144" t="str">
        <f t="shared" si="1246"/>
        <v>-</v>
      </c>
      <c r="EY188" s="110">
        <f>(EZ:EZ*FA:FA)^EY$3</f>
        <v>3.7125261133287442</v>
      </c>
      <c r="EZ188" s="136">
        <f t="shared" si="1352"/>
        <v>3.5273306837312992</v>
      </c>
      <c r="FA188" s="136">
        <f t="shared" si="1353"/>
        <v>1.0525029962321368</v>
      </c>
      <c r="FB188" s="110">
        <f t="shared" si="1354"/>
        <v>1.0453681565409634</v>
      </c>
      <c r="FC188" s="110">
        <f>IF(SeilBeregnet=0,"-",FC$7*(FE:FE+FC$6)*FI:FI*PropF+ErfaringsF+Dyp_F)</f>
        <v>0.98707298872250249</v>
      </c>
      <c r="FD188" s="144" t="str">
        <f t="shared" si="1247"/>
        <v>-</v>
      </c>
      <c r="FE188" s="110">
        <f>(FF:FF+FG:FG+FH:FH)^FE$3+FE$7</f>
        <v>5.6691327553469844</v>
      </c>
      <c r="FF188" s="136">
        <f t="shared" si="1356"/>
        <v>3.5273306837312992</v>
      </c>
      <c r="FG188" s="136">
        <f t="shared" si="1357"/>
        <v>0.78383145975968815</v>
      </c>
      <c r="FH188" s="136">
        <f t="shared" si="1358"/>
        <v>1.8579706118559971</v>
      </c>
      <c r="FI188" s="110">
        <f t="shared" si="1359"/>
        <v>1.8478837127354022</v>
      </c>
      <c r="FJ188" s="110">
        <f>IF(SeilBeregnet=0,"-",FJ$7*(FL:FL+FJ$6)*FO:FO*PropF+ErfaringsF+Dyp_F)</f>
        <v>0.99533331124332414</v>
      </c>
      <c r="FK188" s="144" t="str">
        <f t="shared" si="1248"/>
        <v>-</v>
      </c>
      <c r="FL188" s="110">
        <f>(FM:FM*FN:FN)^FL$3</f>
        <v>6.5536767486706742</v>
      </c>
      <c r="FM188" s="136">
        <f t="shared" si="1361"/>
        <v>3.5273306837312992</v>
      </c>
      <c r="FN188" s="136">
        <f t="shared" si="1362"/>
        <v>1.8579706118559971</v>
      </c>
      <c r="FO188" s="110">
        <f t="shared" si="1363"/>
        <v>1.8478837127354022</v>
      </c>
      <c r="FQ188">
        <v>0.95</v>
      </c>
      <c r="FR188" s="64">
        <f t="shared" si="1506"/>
        <v>1.2029664983099932</v>
      </c>
      <c r="FS188" s="479"/>
      <c r="FT188" s="18"/>
      <c r="FU188" s="481"/>
      <c r="FV188" s="504"/>
      <c r="FW188" s="18"/>
      <c r="FX188" s="18"/>
      <c r="FY188" s="18"/>
      <c r="FZ188" s="18"/>
      <c r="GB188" s="18"/>
      <c r="GC188" s="481"/>
      <c r="GD188" s="8"/>
      <c r="GE188" s="8"/>
      <c r="GF188" s="8"/>
      <c r="GG188" s="8"/>
      <c r="GI188" s="18"/>
      <c r="GJ188" s="18"/>
      <c r="GK188" s="18"/>
      <c r="GL188" s="18"/>
      <c r="GM188" s="18"/>
      <c r="GN188" s="18"/>
      <c r="GO188" s="18"/>
      <c r="GP188" s="18"/>
    </row>
    <row r="189" spans="1:198" ht="15.6" x14ac:dyDescent="0.3">
      <c r="A189" s="62" t="s">
        <v>33</v>
      </c>
      <c r="B189" s="223"/>
      <c r="C189" s="14" t="s">
        <v>22</v>
      </c>
      <c r="G189" s="56"/>
      <c r="H189" s="209">
        <f t="shared" si="1515"/>
        <v>97.500000000000014</v>
      </c>
      <c r="I189" s="65">
        <f t="shared" si="1516"/>
        <v>3</v>
      </c>
      <c r="J189" s="228">
        <f t="shared" si="1517"/>
        <v>90.5</v>
      </c>
      <c r="K189" s="119">
        <f t="shared" si="1518"/>
        <v>1.2311347547716927</v>
      </c>
      <c r="L189" s="119">
        <f t="shared" si="1519"/>
        <v>1.0100164616654908</v>
      </c>
      <c r="M189" s="95">
        <f t="shared" si="1520"/>
        <v>0.8331491712707183</v>
      </c>
      <c r="N189" s="265">
        <f t="shared" si="1521"/>
        <v>1.0020225033387065</v>
      </c>
      <c r="O189" s="147"/>
      <c r="P189" s="147"/>
      <c r="Q189" s="147"/>
      <c r="R189" s="169">
        <v>12.2</v>
      </c>
      <c r="S189" s="147"/>
      <c r="T189" s="169">
        <v>21.1</v>
      </c>
      <c r="U189" s="169">
        <v>57.2</v>
      </c>
      <c r="V189" s="148"/>
      <c r="W189" s="148"/>
      <c r="X189" s="148"/>
      <c r="Y189" s="147"/>
      <c r="Z189" s="147"/>
      <c r="AA189" s="147"/>
      <c r="AB189" s="147"/>
      <c r="AC189" s="147"/>
      <c r="AD189" s="148"/>
      <c r="AE189" s="260">
        <f t="shared" si="1550"/>
        <v>11.85</v>
      </c>
      <c r="AF189" s="375">
        <f t="shared" si="1523"/>
        <v>0</v>
      </c>
      <c r="AG189" s="377"/>
      <c r="AH189" s="375">
        <f t="shared" si="1523"/>
        <v>0</v>
      </c>
      <c r="AI189" s="377"/>
      <c r="AJ189" s="295" t="str">
        <f t="shared" ref="AJ189" si="1560" xml:space="preserve"> AJ188</f>
        <v>Lystb</v>
      </c>
      <c r="AK189" s="47">
        <f>VLOOKUP(AJ189,Skrogform!$1:$1048576,3,FALSE)</f>
        <v>0.98</v>
      </c>
      <c r="AL189" s="66">
        <f t="shared" si="1550"/>
        <v>12.6</v>
      </c>
      <c r="AM189" s="66">
        <f t="shared" si="1552"/>
        <v>11.66</v>
      </c>
      <c r="AN189" s="66">
        <f t="shared" si="1553"/>
        <v>3.65</v>
      </c>
      <c r="AO189" s="66">
        <f t="shared" si="1554"/>
        <v>1.9</v>
      </c>
      <c r="AP189" s="66">
        <f t="shared" si="1555"/>
        <v>17.399999999999999</v>
      </c>
      <c r="AQ189" s="66">
        <f t="shared" si="1556"/>
        <v>4.5</v>
      </c>
      <c r="AR189" s="66">
        <f t="shared" si="1557"/>
        <v>0.8</v>
      </c>
      <c r="AS189" s="284">
        <f t="shared" si="1557"/>
        <v>40</v>
      </c>
      <c r="AT189" s="284">
        <f t="shared" si="1557"/>
        <v>200</v>
      </c>
      <c r="AU189" s="284">
        <f t="shared" ref="AU189:AV189" si="1561">AU188</f>
        <v>200</v>
      </c>
      <c r="AV189" s="284">
        <f t="shared" si="1561"/>
        <v>200</v>
      </c>
      <c r="AW189" s="284"/>
      <c r="AX189" s="284">
        <f t="shared" si="1532"/>
        <v>0</v>
      </c>
      <c r="AY189" s="68"/>
      <c r="AZ189" s="68"/>
      <c r="BA189" s="289"/>
      <c r="BB189" s="68"/>
      <c r="BC189" s="179"/>
      <c r="BD189" s="68"/>
      <c r="BE189" s="68"/>
      <c r="BF189" s="67" t="str">
        <f t="shared" ref="BF189:BH189" si="1562" xml:space="preserve"> BF188</f>
        <v>Fast</v>
      </c>
      <c r="BG189" s="295">
        <f t="shared" si="1562"/>
        <v>4</v>
      </c>
      <c r="BH189" s="295">
        <f t="shared" si="1562"/>
        <v>50</v>
      </c>
      <c r="BI189" s="47">
        <f t="shared" si="1370"/>
        <v>0.98149201307666778</v>
      </c>
      <c r="BJ189" s="61"/>
      <c r="BK189" s="61"/>
      <c r="BM189" s="51">
        <f t="shared" si="1534"/>
        <v>0</v>
      </c>
      <c r="BN189" s="51">
        <f t="shared" si="1534"/>
        <v>0</v>
      </c>
      <c r="BO189" s="51">
        <f t="shared" si="1534"/>
        <v>0</v>
      </c>
      <c r="BP189" s="51">
        <f t="shared" si="1534"/>
        <v>12.2</v>
      </c>
      <c r="BQ189" s="51">
        <f t="shared" si="1534"/>
        <v>0</v>
      </c>
      <c r="BR189" s="51">
        <f t="shared" si="1534"/>
        <v>21.1</v>
      </c>
      <c r="BS189" s="52">
        <f t="shared" si="1535"/>
        <v>-3.6599999999999997</v>
      </c>
      <c r="BT189" s="88">
        <f t="shared" si="1536"/>
        <v>45.760000000000005</v>
      </c>
      <c r="BU189" s="88">
        <f t="shared" si="1536"/>
        <v>0</v>
      </c>
      <c r="BV189" s="88">
        <f t="shared" si="1536"/>
        <v>0</v>
      </c>
      <c r="BW189" s="88">
        <f t="shared" si="1536"/>
        <v>0</v>
      </c>
      <c r="BX189" s="88">
        <f t="shared" si="1536"/>
        <v>0</v>
      </c>
      <c r="BY189" s="88">
        <f t="shared" si="1536"/>
        <v>0</v>
      </c>
      <c r="BZ189" s="88">
        <f t="shared" si="1536"/>
        <v>0</v>
      </c>
      <c r="CA189" s="88">
        <f t="shared" si="1536"/>
        <v>0</v>
      </c>
      <c r="CB189" s="88">
        <f t="shared" si="1536"/>
        <v>0</v>
      </c>
      <c r="CC189" s="88">
        <f t="shared" si="1536"/>
        <v>0</v>
      </c>
      <c r="CD189" s="103">
        <f t="shared" si="1537"/>
        <v>75.400000000000006</v>
      </c>
      <c r="CE189" s="52"/>
      <c r="CF189" s="107">
        <f t="shared" si="1538"/>
        <v>90.5</v>
      </c>
      <c r="CG189" s="104">
        <f t="shared" si="1539"/>
        <v>0.8331491712707183</v>
      </c>
      <c r="CH189" s="53">
        <f t="shared" si="1540"/>
        <v>0.66565849439081581</v>
      </c>
      <c r="CI189" s="119">
        <f t="shared" si="1541"/>
        <v>1.2311347547716927</v>
      </c>
      <c r="CJ189" s="53">
        <f t="shared" si="1542"/>
        <v>1.0100164616654908</v>
      </c>
      <c r="CK189" s="209"/>
      <c r="CL189" s="209">
        <f t="shared" si="1543"/>
        <v>97.500000000000014</v>
      </c>
      <c r="CM189" s="110">
        <f t="shared" si="1189"/>
        <v>0.97391159756556711</v>
      </c>
      <c r="CN189" s="64">
        <f>IF(SeilBeregnet=0,"-",(SeilBeregnet)^(1/2)*StHfaktor/(Depl+DeplTillegg/1000+Vann/1000+Diesel/1000*0.84)^(1/3))</f>
        <v>3.3219765948744415</v>
      </c>
      <c r="CO189" s="64">
        <f t="shared" si="1140"/>
        <v>1.8229886645925357</v>
      </c>
      <c r="CP189" s="64">
        <f t="shared" si="1141"/>
        <v>1.8478837127354022</v>
      </c>
      <c r="CQ189" s="110">
        <f t="shared" si="1142"/>
        <v>1.0020225033387065</v>
      </c>
      <c r="CR189" s="172" t="str">
        <f t="shared" ref="CR189:CR225" si="1563">IF(CS189=0,"-",IF(CH189="TBF","-",CR$7*CS189))</f>
        <v>-</v>
      </c>
      <c r="CS189" s="162"/>
      <c r="CT189" s="172" t="str">
        <f t="shared" si="1373"/>
        <v>-</v>
      </c>
      <c r="CU189" s="164"/>
      <c r="CV189" s="195" t="s">
        <v>145</v>
      </c>
      <c r="CW189" s="64">
        <v>0.92</v>
      </c>
      <c r="CX189" s="64">
        <v>0.9</v>
      </c>
      <c r="CY189" s="64">
        <v>0.94</v>
      </c>
      <c r="CZ189" s="154" t="s">
        <v>111</v>
      </c>
      <c r="DA189" s="64">
        <f t="shared" si="1397"/>
        <v>1.9148737503548841</v>
      </c>
      <c r="DB189" s="49">
        <f t="shared" si="1398"/>
        <v>11.649294911097483</v>
      </c>
      <c r="DC189" s="50">
        <f t="shared" si="1399"/>
        <v>0</v>
      </c>
      <c r="DE189" s="110">
        <f>IF(SeilBeregnet=0,"-",DE$7*(DG:DG+DE$6)*DL:DL*PropF+ErfaringsF+Dyp_F)</f>
        <v>0.95424076216197518</v>
      </c>
      <c r="DF189" s="144" t="str">
        <f t="shared" si="1512"/>
        <v>-</v>
      </c>
      <c r="DG189" s="110">
        <f t="shared" si="1400"/>
        <v>5.2092497920059238</v>
      </c>
      <c r="DH189" s="136">
        <f t="shared" si="1544"/>
        <v>3.3512791801499269</v>
      </c>
      <c r="DI189" s="136">
        <f t="shared" si="1545"/>
        <v>0</v>
      </c>
      <c r="DJ189" s="136">
        <f t="shared" si="1546"/>
        <v>0</v>
      </c>
      <c r="DK189" s="136">
        <f t="shared" si="1547"/>
        <v>1.8579706118559971</v>
      </c>
      <c r="DL189" s="110">
        <f t="shared" si="1548"/>
        <v>1.8478837127354022</v>
      </c>
      <c r="DM189" s="136">
        <f t="shared" si="1549"/>
        <v>1.9416079083690583</v>
      </c>
      <c r="DO189" s="110">
        <f t="shared" si="344"/>
        <v>0.99378734445466044</v>
      </c>
      <c r="DP189" s="110">
        <f t="shared" si="1401"/>
        <v>0.94105686406484512</v>
      </c>
      <c r="DR189" s="110">
        <f t="shared" si="1402"/>
        <v>0.95324785900317832</v>
      </c>
      <c r="DS189" s="125" t="str">
        <f t="shared" si="1513"/>
        <v>-</v>
      </c>
      <c r="DT189" s="110">
        <f t="shared" si="1403"/>
        <v>0.97597451229514287</v>
      </c>
      <c r="DU189" s="125" t="str">
        <f t="shared" si="1514"/>
        <v>-</v>
      </c>
      <c r="DV189" s="110">
        <f t="shared" si="214"/>
        <v>3.3509920075806758</v>
      </c>
      <c r="DW189" s="110">
        <f t="shared" si="215"/>
        <v>2.2674129716058933</v>
      </c>
      <c r="DX189" s="110">
        <f t="shared" si="1341"/>
        <v>1.6056448217209125</v>
      </c>
      <c r="DZ189" s="110">
        <f t="shared" si="1404"/>
        <v>0.97484298136239111</v>
      </c>
      <c r="EB189" s="110">
        <f t="shared" si="217"/>
        <v>3.3509920075806758</v>
      </c>
      <c r="EC189" s="110">
        <f t="shared" si="1342"/>
        <v>2.2675800519171947</v>
      </c>
      <c r="ED189" s="110">
        <f t="shared" si="1343"/>
        <v>1.8800607846552968</v>
      </c>
      <c r="EE189" s="110">
        <f t="shared" si="1405"/>
        <v>0.96369717853564718</v>
      </c>
      <c r="EG189" s="110">
        <f t="shared" si="1344"/>
        <v>5.380502964600077</v>
      </c>
      <c r="EH189" s="110">
        <f t="shared" si="219"/>
        <v>3.3509920075806758</v>
      </c>
      <c r="EI189" s="110">
        <f t="shared" si="1345"/>
        <v>1.6056448217209125</v>
      </c>
      <c r="EJ189" s="110">
        <f t="shared" si="1346"/>
        <v>1.8478837127354022</v>
      </c>
      <c r="EK189" s="110">
        <f>IF(SeilBeregnet=0,"-",EK$7*(EK$4*EM:EM+EK$6)*EP:EP*PropF+ErfaringsF+Dyp_F)</f>
        <v>0.95928136030311062</v>
      </c>
      <c r="EM189" s="110">
        <f>IF(SeilBeregnet=0,EM188,(EN:EN*EO:EO)^EM$3)</f>
        <v>1.8541400342497989</v>
      </c>
      <c r="EN189" s="110">
        <f t="shared" si="220"/>
        <v>3.3509920075806758</v>
      </c>
      <c r="EO189" s="110">
        <f t="shared" si="1347"/>
        <v>1.0259156867073127</v>
      </c>
      <c r="EP189" s="110">
        <f t="shared" si="1348"/>
        <v>1.8589566686871406</v>
      </c>
      <c r="EQ189" s="110">
        <f>IF(SeilBeregnet=0,"-",EQ$7*(ES:ES+EQ$6)*EV:EV*PropF+ErfaringsF+Dyp_F)</f>
        <v>0.92575302266096726</v>
      </c>
      <c r="ES189" s="110">
        <f>(ET:ET*EU:EU)^ES$3</f>
        <v>1.8542194803882932</v>
      </c>
      <c r="ET189" s="110">
        <f t="shared" si="221"/>
        <v>3.3512791801499269</v>
      </c>
      <c r="EU189" s="110">
        <f t="shared" si="1349"/>
        <v>1.0259156867073127</v>
      </c>
      <c r="EV189" s="110">
        <f t="shared" si="1350"/>
        <v>1.8589566686871406</v>
      </c>
      <c r="EW189" s="110">
        <f>IF(SeilBeregnet=0,"-",EW$7*(EY:EY+EW$6)*FB:FB*PropF+ErfaringsF+Dyp_F)</f>
        <v>0.96975000867874461</v>
      </c>
      <c r="EX189" s="144" t="str">
        <f t="shared" si="1246"/>
        <v>-</v>
      </c>
      <c r="EY189" s="110">
        <f>(EZ:EZ*FA:FA)^EY$3</f>
        <v>3.5272313783181772</v>
      </c>
      <c r="EZ189" s="136">
        <f t="shared" si="1352"/>
        <v>3.3512791801499269</v>
      </c>
      <c r="FA189" s="136">
        <f t="shared" si="1353"/>
        <v>1.0525029962321368</v>
      </c>
      <c r="FB189" s="110">
        <f t="shared" si="1354"/>
        <v>1.0453681565409634</v>
      </c>
      <c r="FC189" s="110">
        <f>IF(SeilBeregnet=0,"-",FC$7*(FE:FE+FC$6)*FI:FI*PropF+ErfaringsF+Dyp_F)</f>
        <v>0.94960843532777595</v>
      </c>
      <c r="FD189" s="144" t="str">
        <f t="shared" si="1247"/>
        <v>-</v>
      </c>
      <c r="FE189" s="110">
        <f>(FF:FF+FG:FG+FH:FH)^FE$3+FE$7</f>
        <v>5.4539596838101234</v>
      </c>
      <c r="FF189" s="136">
        <f t="shared" si="1356"/>
        <v>3.3512791801499269</v>
      </c>
      <c r="FG189" s="136">
        <f t="shared" si="1357"/>
        <v>0.74470989180419933</v>
      </c>
      <c r="FH189" s="136">
        <f t="shared" si="1358"/>
        <v>1.8579706118559971</v>
      </c>
      <c r="FI189" s="110">
        <f t="shared" si="1359"/>
        <v>1.8478837127354022</v>
      </c>
      <c r="FJ189" s="110">
        <f>IF(SeilBeregnet=0,"-",FJ$7*(FL:FL+FJ$6)*FO:FO*PropF+ErfaringsF+Dyp_F)</f>
        <v>0.96448415216864847</v>
      </c>
      <c r="FK189" s="144" t="str">
        <f t="shared" si="1248"/>
        <v>-</v>
      </c>
      <c r="FL189" s="110">
        <f>(FM:FM*FN:FN)^FL$3</f>
        <v>6.2265782288434242</v>
      </c>
      <c r="FM189" s="136">
        <f t="shared" si="1361"/>
        <v>3.3512791801499269</v>
      </c>
      <c r="FN189" s="136">
        <f t="shared" si="1362"/>
        <v>1.8579706118559971</v>
      </c>
      <c r="FO189" s="110">
        <f t="shared" si="1363"/>
        <v>1.8478837127354022</v>
      </c>
      <c r="FQ189">
        <v>0.95</v>
      </c>
      <c r="FR189" s="64">
        <f t="shared" si="1506"/>
        <v>1.1740629596299164</v>
      </c>
      <c r="FS189" s="479"/>
      <c r="FT189" s="18"/>
      <c r="FU189" s="481"/>
      <c r="FV189" s="504"/>
      <c r="FW189" s="18"/>
      <c r="FX189" s="18"/>
      <c r="FY189" s="18"/>
      <c r="FZ189" s="18"/>
      <c r="GB189" s="18"/>
      <c r="GC189" s="481"/>
      <c r="GD189" s="8"/>
      <c r="GE189" s="8"/>
      <c r="GF189" s="8"/>
      <c r="GG189" s="8"/>
      <c r="GI189" s="18"/>
      <c r="GJ189" s="18"/>
      <c r="GK189" s="18"/>
      <c r="GL189" s="18"/>
      <c r="GM189" s="18"/>
      <c r="GN189" s="18"/>
      <c r="GO189" s="18"/>
      <c r="GP189" s="18"/>
    </row>
    <row r="190" spans="1:198" ht="15.6" x14ac:dyDescent="0.3">
      <c r="A190" s="62" t="s">
        <v>37</v>
      </c>
      <c r="B190" s="223"/>
      <c r="C190" s="14" t="s">
        <v>22</v>
      </c>
      <c r="G190" s="56"/>
      <c r="H190" s="209">
        <f t="shared" si="1515"/>
        <v>93</v>
      </c>
      <c r="I190" s="65">
        <f t="shared" si="1516"/>
        <v>3</v>
      </c>
      <c r="J190" s="228">
        <f t="shared" si="1517"/>
        <v>81.3</v>
      </c>
      <c r="K190" s="119">
        <f t="shared" si="1518"/>
        <v>1.1059807244523603</v>
      </c>
      <c r="L190" s="119">
        <f t="shared" si="1519"/>
        <v>0.90734075506524192</v>
      </c>
      <c r="M190" s="95">
        <f t="shared" si="1520"/>
        <v>0.80738007380073806</v>
      </c>
      <c r="N190" s="265">
        <f t="shared" si="1521"/>
        <v>1.0020225033387065</v>
      </c>
      <c r="O190" s="147"/>
      <c r="P190" s="147"/>
      <c r="Q190" s="147"/>
      <c r="R190" s="169">
        <v>12.2</v>
      </c>
      <c r="S190" s="147"/>
      <c r="T190" s="169">
        <v>21.1</v>
      </c>
      <c r="U190" s="148"/>
      <c r="V190" s="184">
        <v>48</v>
      </c>
      <c r="W190" s="148"/>
      <c r="X190" s="148"/>
      <c r="Y190" s="147"/>
      <c r="Z190" s="147"/>
      <c r="AA190" s="147"/>
      <c r="AB190" s="147"/>
      <c r="AC190" s="147"/>
      <c r="AD190" s="148"/>
      <c r="AE190" s="260">
        <f t="shared" si="1550"/>
        <v>11.85</v>
      </c>
      <c r="AF190" s="375">
        <f t="shared" si="1523"/>
        <v>0</v>
      </c>
      <c r="AG190" s="377"/>
      <c r="AH190" s="375">
        <f t="shared" si="1523"/>
        <v>0</v>
      </c>
      <c r="AI190" s="377"/>
      <c r="AJ190" s="295" t="str">
        <f t="shared" ref="AJ190" si="1564" xml:space="preserve"> AJ189</f>
        <v>Lystb</v>
      </c>
      <c r="AK190" s="47">
        <f>VLOOKUP(AJ190,Skrogform!$1:$1048576,3,FALSE)</f>
        <v>0.98</v>
      </c>
      <c r="AL190" s="66">
        <f t="shared" si="1550"/>
        <v>12.6</v>
      </c>
      <c r="AM190" s="66">
        <f t="shared" si="1552"/>
        <v>11.66</v>
      </c>
      <c r="AN190" s="66">
        <f t="shared" si="1553"/>
        <v>3.65</v>
      </c>
      <c r="AO190" s="66">
        <f t="shared" si="1554"/>
        <v>1.9</v>
      </c>
      <c r="AP190" s="66">
        <f t="shared" si="1555"/>
        <v>17.399999999999999</v>
      </c>
      <c r="AQ190" s="66">
        <f t="shared" si="1556"/>
        <v>4.5</v>
      </c>
      <c r="AR190" s="66">
        <f t="shared" si="1557"/>
        <v>0.8</v>
      </c>
      <c r="AS190" s="284">
        <f t="shared" si="1557"/>
        <v>40</v>
      </c>
      <c r="AT190" s="284">
        <f t="shared" si="1557"/>
        <v>200</v>
      </c>
      <c r="AU190" s="284">
        <f t="shared" ref="AU190:AV190" si="1565">AU189</f>
        <v>200</v>
      </c>
      <c r="AV190" s="284">
        <f t="shared" si="1565"/>
        <v>200</v>
      </c>
      <c r="AW190" s="284"/>
      <c r="AX190" s="284">
        <f t="shared" si="1532"/>
        <v>0</v>
      </c>
      <c r="AY190" s="68"/>
      <c r="AZ190" s="68"/>
      <c r="BA190" s="289"/>
      <c r="BB190" s="68"/>
      <c r="BC190" s="179"/>
      <c r="BD190" s="68"/>
      <c r="BE190" s="68"/>
      <c r="BF190" s="67" t="str">
        <f t="shared" ref="BF190:BH190" si="1566" xml:space="preserve"> BF189</f>
        <v>Fast</v>
      </c>
      <c r="BG190" s="295">
        <f t="shared" si="1566"/>
        <v>4</v>
      </c>
      <c r="BH190" s="295">
        <f t="shared" si="1566"/>
        <v>50</v>
      </c>
      <c r="BI190" s="47">
        <f t="shared" si="1370"/>
        <v>0.98149201307666778</v>
      </c>
      <c r="BJ190" s="61"/>
      <c r="BK190" s="61"/>
      <c r="BM190" s="51">
        <f t="shared" si="1534"/>
        <v>0</v>
      </c>
      <c r="BN190" s="51">
        <f t="shared" si="1534"/>
        <v>0</v>
      </c>
      <c r="BO190" s="51">
        <f t="shared" si="1534"/>
        <v>0</v>
      </c>
      <c r="BP190" s="51">
        <f t="shared" si="1534"/>
        <v>12.2</v>
      </c>
      <c r="BQ190" s="51">
        <f t="shared" si="1534"/>
        <v>0</v>
      </c>
      <c r="BR190" s="51">
        <f t="shared" si="1534"/>
        <v>21.1</v>
      </c>
      <c r="BS190" s="52">
        <f t="shared" si="1535"/>
        <v>-3.6599999999999997</v>
      </c>
      <c r="BT190" s="88">
        <f t="shared" si="1536"/>
        <v>0</v>
      </c>
      <c r="BU190" s="88">
        <f t="shared" si="1536"/>
        <v>36</v>
      </c>
      <c r="BV190" s="88">
        <f t="shared" si="1536"/>
        <v>0</v>
      </c>
      <c r="BW190" s="88">
        <f t="shared" si="1536"/>
        <v>0</v>
      </c>
      <c r="BX190" s="88">
        <f t="shared" si="1536"/>
        <v>0</v>
      </c>
      <c r="BY190" s="88">
        <f t="shared" si="1536"/>
        <v>0</v>
      </c>
      <c r="BZ190" s="88">
        <f t="shared" si="1536"/>
        <v>0</v>
      </c>
      <c r="CA190" s="88">
        <f t="shared" si="1536"/>
        <v>0</v>
      </c>
      <c r="CB190" s="88">
        <f t="shared" si="1536"/>
        <v>0</v>
      </c>
      <c r="CC190" s="88">
        <f t="shared" si="1536"/>
        <v>0</v>
      </c>
      <c r="CD190" s="103">
        <f t="shared" si="1537"/>
        <v>65.64</v>
      </c>
      <c r="CE190" s="52"/>
      <c r="CF190" s="107">
        <f t="shared" si="1538"/>
        <v>81.3</v>
      </c>
      <c r="CG190" s="104">
        <f t="shared" si="1539"/>
        <v>0.80738007380073806</v>
      </c>
      <c r="CH190" s="53">
        <f t="shared" si="1540"/>
        <v>0.5979893435798157</v>
      </c>
      <c r="CI190" s="119">
        <f t="shared" si="1541"/>
        <v>1.1059807244523603</v>
      </c>
      <c r="CJ190" s="53">
        <f t="shared" si="1542"/>
        <v>0.90734075506524192</v>
      </c>
      <c r="CK190" s="209"/>
      <c r="CL190" s="209">
        <f t="shared" si="1543"/>
        <v>93</v>
      </c>
      <c r="CM190" s="110">
        <f t="shared" si="1189"/>
        <v>0.9318028730963559</v>
      </c>
      <c r="CN190" s="64">
        <f>IF(SeilBeregnet=0,"-",(SeilBeregnet)^(1/2)*StHfaktor/(Depl+DeplTillegg/1000+Vann/1000+Diesel/1000*0.84)^(1/3))</f>
        <v>3.0995252706925522</v>
      </c>
      <c r="CO190" s="64">
        <f t="shared" si="1140"/>
        <v>1.8229886645925357</v>
      </c>
      <c r="CP190" s="64">
        <f t="shared" si="1141"/>
        <v>1.8478837127354022</v>
      </c>
      <c r="CQ190" s="110">
        <f t="shared" si="1142"/>
        <v>1.0020225033387065</v>
      </c>
      <c r="CR190" s="172" t="str">
        <f t="shared" si="1563"/>
        <v>-</v>
      </c>
      <c r="CS190" s="162"/>
      <c r="CT190" s="172" t="str">
        <f t="shared" si="1373"/>
        <v>-</v>
      </c>
      <c r="CU190" s="164"/>
      <c r="CV190" s="195" t="s">
        <v>145</v>
      </c>
      <c r="CW190" s="64">
        <v>0.9</v>
      </c>
      <c r="CX190" s="64">
        <v>0.88</v>
      </c>
      <c r="CY190" s="64">
        <v>0.91</v>
      </c>
      <c r="CZ190" s="154" t="s">
        <v>111</v>
      </c>
      <c r="DA190" s="64">
        <f t="shared" si="1397"/>
        <v>1.9148737503548841</v>
      </c>
      <c r="DB190" s="49">
        <f t="shared" si="1398"/>
        <v>11.649294911097483</v>
      </c>
      <c r="DC190" s="50">
        <f t="shared" si="1399"/>
        <v>0</v>
      </c>
      <c r="DE190" s="110">
        <f>IF(SeilBeregnet=0,"-",DE$7*(DG:DG+DE$6)*DL:DL*PropF+ErfaringsF+Dyp_F)</f>
        <v>0.91313224450159247</v>
      </c>
      <c r="DF190" s="144" t="str">
        <f t="shared" si="1512"/>
        <v>-</v>
      </c>
      <c r="DG190" s="110">
        <f t="shared" si="1400"/>
        <v>4.9848362628805862</v>
      </c>
      <c r="DH190" s="136">
        <f t="shared" si="1544"/>
        <v>3.1268656510245889</v>
      </c>
      <c r="DI190" s="136">
        <f t="shared" si="1545"/>
        <v>0</v>
      </c>
      <c r="DJ190" s="136">
        <f t="shared" si="1546"/>
        <v>0</v>
      </c>
      <c r="DK190" s="136">
        <f t="shared" si="1547"/>
        <v>1.8579706118559971</v>
      </c>
      <c r="DL190" s="110">
        <f t="shared" si="1548"/>
        <v>1.8478837127354022</v>
      </c>
      <c r="DM190" s="136">
        <f t="shared" si="1549"/>
        <v>1.9416079083690583</v>
      </c>
      <c r="DO190" s="110">
        <f t="shared" si="344"/>
        <v>0.95081925826158764</v>
      </c>
      <c r="DP190" s="110">
        <f t="shared" si="1401"/>
        <v>0.89125305068987393</v>
      </c>
      <c r="DR190" s="110">
        <f t="shared" si="1402"/>
        <v>0.91190987688371472</v>
      </c>
      <c r="DS190" s="125" t="str">
        <f t="shared" si="1513"/>
        <v>-</v>
      </c>
      <c r="DT190" s="110">
        <f t="shared" si="1403"/>
        <v>0.92572680830976029</v>
      </c>
      <c r="DU190" s="125" t="str">
        <f t="shared" si="1514"/>
        <v>-</v>
      </c>
      <c r="DV190" s="110">
        <f t="shared" si="214"/>
        <v>3.126597708548168</v>
      </c>
      <c r="DW190" s="110">
        <f t="shared" si="215"/>
        <v>2.2674129716058933</v>
      </c>
      <c r="DX190" s="110">
        <f t="shared" si="1341"/>
        <v>1.6056448217209125</v>
      </c>
      <c r="DZ190" s="110">
        <f t="shared" si="1404"/>
        <v>0.92912668680743427</v>
      </c>
      <c r="EB190" s="110">
        <f t="shared" si="217"/>
        <v>3.126597708548168</v>
      </c>
      <c r="EC190" s="110">
        <f t="shared" si="1342"/>
        <v>2.2675800519171947</v>
      </c>
      <c r="ED190" s="110">
        <f t="shared" si="1343"/>
        <v>1.8800607846552968</v>
      </c>
      <c r="EE190" s="110">
        <f t="shared" si="1405"/>
        <v>0.91665191231095577</v>
      </c>
      <c r="EG190" s="110">
        <f t="shared" si="1344"/>
        <v>5.020205420334837</v>
      </c>
      <c r="EH190" s="110">
        <f t="shared" si="219"/>
        <v>3.126597708548168</v>
      </c>
      <c r="EI190" s="110">
        <f t="shared" si="1345"/>
        <v>1.6056448217209125</v>
      </c>
      <c r="EJ190" s="110">
        <f t="shared" si="1346"/>
        <v>1.8478837127354022</v>
      </c>
      <c r="EK190" s="110">
        <f>IF(SeilBeregnet=0,"-",EK$7*(EK$4*EM:EM+EK$6)*EP:EP*PropF+ErfaringsF+Dyp_F)</f>
        <v>0.91454161145876667</v>
      </c>
      <c r="EM190" s="110">
        <f>IF(SeilBeregnet=0,EM189,(EN:EN*EO:EO)^EM$3)</f>
        <v>1.7909845435465668</v>
      </c>
      <c r="EN190" s="110">
        <f t="shared" si="220"/>
        <v>3.126597708548168</v>
      </c>
      <c r="EO190" s="110">
        <f t="shared" si="1347"/>
        <v>1.0259156867073127</v>
      </c>
      <c r="EP190" s="110">
        <f t="shared" si="1348"/>
        <v>1.8589566686871406</v>
      </c>
      <c r="EQ190" s="110">
        <f>IF(SeilBeregnet=0,"-",EQ$7*(ES:ES+EQ$6)*EV:EV*PropF+ErfaringsF+Dyp_F)</f>
        <v>0.89422013661344191</v>
      </c>
      <c r="ES190" s="110">
        <f>(ET:ET*EU:EU)^ES$3</f>
        <v>1.7910612836004243</v>
      </c>
      <c r="ET190" s="110">
        <f t="shared" si="221"/>
        <v>3.1268656510245889</v>
      </c>
      <c r="EU190" s="110">
        <f t="shared" si="1349"/>
        <v>1.0259156867073127</v>
      </c>
      <c r="EV190" s="110">
        <f t="shared" si="1350"/>
        <v>1.8589566686871406</v>
      </c>
      <c r="EW190" s="110">
        <f>IF(SeilBeregnet=0,"-",EW$7*(EY:EY+EW$6)*FB:FB*PropF+ErfaringsF+Dyp_F)</f>
        <v>0.92830955289903883</v>
      </c>
      <c r="EX190" s="144" t="str">
        <f t="shared" si="1246"/>
        <v>-</v>
      </c>
      <c r="EY190" s="110">
        <f>(EZ:EZ*FA:FA)^EY$3</f>
        <v>3.2910354665187311</v>
      </c>
      <c r="EZ190" s="136">
        <f t="shared" si="1352"/>
        <v>3.1268656510245889</v>
      </c>
      <c r="FA190" s="136">
        <f t="shared" si="1353"/>
        <v>1.0525029962321368</v>
      </c>
      <c r="FB190" s="110">
        <f t="shared" si="1354"/>
        <v>1.0453681565409634</v>
      </c>
      <c r="FC190" s="110">
        <f>IF(SeilBeregnet=0,"-",FC$7*(FE:FE+FC$6)*FI:FI*PropF+ErfaringsF+Dyp_F)</f>
        <v>0.90185222493830197</v>
      </c>
      <c r="FD190" s="144" t="str">
        <f t="shared" si="1247"/>
        <v>-</v>
      </c>
      <c r="FE190" s="110">
        <f>(FF:FF+FG:FG+FH:FH)^FE$3+FE$7</f>
        <v>5.1796777414579136</v>
      </c>
      <c r="FF190" s="136">
        <f t="shared" si="1356"/>
        <v>3.1268656510245889</v>
      </c>
      <c r="FG190" s="136">
        <f t="shared" si="1357"/>
        <v>0.69484147857732748</v>
      </c>
      <c r="FH190" s="136">
        <f t="shared" si="1358"/>
        <v>1.8579706118559971</v>
      </c>
      <c r="FI190" s="110">
        <f t="shared" si="1359"/>
        <v>1.8478837127354022</v>
      </c>
      <c r="FJ190" s="110">
        <f>IF(SeilBeregnet=0,"-",FJ$7*(FL:FL+FJ$6)*FO:FO*PropF+ErfaringsF+Dyp_F)</f>
        <v>0.92516061037738484</v>
      </c>
      <c r="FK190" s="144" t="str">
        <f t="shared" si="1248"/>
        <v>-</v>
      </c>
      <c r="FL190" s="110">
        <f>(FM:FM*FN:FN)^FL$3</f>
        <v>5.8096244868256566</v>
      </c>
      <c r="FM190" s="136">
        <f t="shared" si="1361"/>
        <v>3.1268656510245889</v>
      </c>
      <c r="FN190" s="136">
        <f t="shared" si="1362"/>
        <v>1.8579706118559971</v>
      </c>
      <c r="FO190" s="110">
        <f t="shared" si="1363"/>
        <v>1.8478837127354022</v>
      </c>
      <c r="FQ190">
        <v>0.95</v>
      </c>
      <c r="FR190" s="64">
        <f t="shared" si="1506"/>
        <v>1.1372195076431015</v>
      </c>
      <c r="FS190" s="479"/>
      <c r="FT190" s="18"/>
      <c r="FU190" s="481"/>
      <c r="FV190" s="504"/>
      <c r="FW190" s="18"/>
      <c r="FX190" s="18"/>
      <c r="FY190" s="18"/>
      <c r="FZ190" s="18"/>
      <c r="GB190" s="18"/>
      <c r="GC190" s="481"/>
      <c r="GD190" s="8"/>
      <c r="GE190" s="8"/>
      <c r="GF190" s="8"/>
      <c r="GG190" s="8"/>
      <c r="GI190" s="18"/>
      <c r="GJ190" s="18"/>
      <c r="GK190" s="18"/>
      <c r="GL190" s="18"/>
      <c r="GM190" s="18"/>
      <c r="GN190" s="18"/>
      <c r="GO190" s="18"/>
      <c r="GP190" s="18"/>
    </row>
    <row r="191" spans="1:198" ht="15.6" x14ac:dyDescent="0.3">
      <c r="A191" s="62" t="s">
        <v>157</v>
      </c>
      <c r="B191" s="223"/>
      <c r="C191" s="14" t="s">
        <v>22</v>
      </c>
      <c r="G191" s="56"/>
      <c r="H191" s="209">
        <f t="shared" si="1515"/>
        <v>118.5</v>
      </c>
      <c r="I191" s="65">
        <f t="shared" si="1516"/>
        <v>4</v>
      </c>
      <c r="J191" s="228">
        <f t="shared" si="1517"/>
        <v>161.30000000000001</v>
      </c>
      <c r="K191" s="119">
        <f t="shared" si="1518"/>
        <v>2.194276640272641</v>
      </c>
      <c r="L191" s="119">
        <f t="shared" si="1519"/>
        <v>1.8001729863717533</v>
      </c>
      <c r="M191" s="95">
        <f t="shared" si="1520"/>
        <v>0.83403595784252937</v>
      </c>
      <c r="N191" s="265">
        <f t="shared" si="1521"/>
        <v>1.0020225033387065</v>
      </c>
      <c r="O191" s="147"/>
      <c r="P191" s="169">
        <v>65</v>
      </c>
      <c r="Q191" s="147"/>
      <c r="R191" s="147"/>
      <c r="S191" s="147"/>
      <c r="T191" s="169">
        <v>21.1</v>
      </c>
      <c r="U191" s="169">
        <v>57.2</v>
      </c>
      <c r="V191" s="148"/>
      <c r="W191" s="148"/>
      <c r="X191" s="148"/>
      <c r="Y191" s="169">
        <v>18</v>
      </c>
      <c r="Z191" s="147"/>
      <c r="AA191" s="147"/>
      <c r="AB191" s="147"/>
      <c r="AC191" s="147"/>
      <c r="AD191" s="148"/>
      <c r="AE191" s="260">
        <f t="shared" si="1550"/>
        <v>11.85</v>
      </c>
      <c r="AF191" s="375">
        <f t="shared" si="1523"/>
        <v>0</v>
      </c>
      <c r="AG191" s="377"/>
      <c r="AH191" s="375">
        <f t="shared" si="1523"/>
        <v>0</v>
      </c>
      <c r="AI191" s="377"/>
      <c r="AJ191" s="295" t="str">
        <f t="shared" ref="AJ191" si="1567" xml:space="preserve"> AJ190</f>
        <v>Lystb</v>
      </c>
      <c r="AK191" s="47">
        <f>VLOOKUP(AJ191,Skrogform!$1:$1048576,3,FALSE)</f>
        <v>0.98</v>
      </c>
      <c r="AL191" s="66">
        <f t="shared" si="1550"/>
        <v>12.6</v>
      </c>
      <c r="AM191" s="66">
        <f t="shared" si="1552"/>
        <v>11.66</v>
      </c>
      <c r="AN191" s="66">
        <f t="shared" si="1553"/>
        <v>3.65</v>
      </c>
      <c r="AO191" s="66">
        <f t="shared" si="1554"/>
        <v>1.9</v>
      </c>
      <c r="AP191" s="66">
        <f t="shared" si="1555"/>
        <v>17.399999999999999</v>
      </c>
      <c r="AQ191" s="66">
        <f t="shared" si="1556"/>
        <v>4.5</v>
      </c>
      <c r="AR191" s="66">
        <f t="shared" si="1557"/>
        <v>0.8</v>
      </c>
      <c r="AS191" s="284">
        <f t="shared" si="1557"/>
        <v>40</v>
      </c>
      <c r="AT191" s="284">
        <f t="shared" si="1557"/>
        <v>200</v>
      </c>
      <c r="AU191" s="284">
        <f t="shared" ref="AU191:AV191" si="1568">AU190</f>
        <v>200</v>
      </c>
      <c r="AV191" s="284">
        <f t="shared" si="1568"/>
        <v>200</v>
      </c>
      <c r="AW191" s="284"/>
      <c r="AX191" s="284">
        <f t="shared" si="1532"/>
        <v>0</v>
      </c>
      <c r="AY191" s="68"/>
      <c r="AZ191" s="68"/>
      <c r="BA191" s="289"/>
      <c r="BB191" s="68"/>
      <c r="BC191" s="179"/>
      <c r="BD191" s="68"/>
      <c r="BE191" s="68"/>
      <c r="BF191" s="67" t="str">
        <f t="shared" ref="BF191:BH191" si="1569" xml:space="preserve"> BF190</f>
        <v>Fast</v>
      </c>
      <c r="BG191" s="295">
        <f t="shared" si="1569"/>
        <v>4</v>
      </c>
      <c r="BH191" s="295">
        <f t="shared" si="1569"/>
        <v>50</v>
      </c>
      <c r="BI191" s="47">
        <f t="shared" si="1370"/>
        <v>0.98149201307666778</v>
      </c>
      <c r="BJ191" s="61"/>
      <c r="BK191" s="61"/>
      <c r="BM191" s="51">
        <f t="shared" si="1534"/>
        <v>0</v>
      </c>
      <c r="BN191" s="51">
        <f t="shared" si="1534"/>
        <v>65</v>
      </c>
      <c r="BO191" s="51">
        <f t="shared" si="1534"/>
        <v>0</v>
      </c>
      <c r="BP191" s="51">
        <f t="shared" si="1534"/>
        <v>0</v>
      </c>
      <c r="BQ191" s="51">
        <f t="shared" si="1534"/>
        <v>0</v>
      </c>
      <c r="BR191" s="51">
        <f t="shared" si="1534"/>
        <v>21.1</v>
      </c>
      <c r="BS191" s="52">
        <f t="shared" si="1535"/>
        <v>-6.33</v>
      </c>
      <c r="BT191" s="88">
        <f t="shared" si="1536"/>
        <v>45.760000000000005</v>
      </c>
      <c r="BU191" s="88">
        <f t="shared" si="1536"/>
        <v>0</v>
      </c>
      <c r="BV191" s="88">
        <f t="shared" si="1536"/>
        <v>0</v>
      </c>
      <c r="BW191" s="88">
        <f t="shared" si="1536"/>
        <v>0</v>
      </c>
      <c r="BX191" s="88">
        <f t="shared" si="1536"/>
        <v>9</v>
      </c>
      <c r="BY191" s="88">
        <f t="shared" si="1536"/>
        <v>0</v>
      </c>
      <c r="BZ191" s="88">
        <f t="shared" si="1536"/>
        <v>0</v>
      </c>
      <c r="CA191" s="88">
        <f t="shared" si="1536"/>
        <v>0</v>
      </c>
      <c r="CB191" s="88">
        <f t="shared" si="1536"/>
        <v>0</v>
      </c>
      <c r="CC191" s="88">
        <f t="shared" si="1536"/>
        <v>0</v>
      </c>
      <c r="CD191" s="103">
        <f t="shared" si="1537"/>
        <v>134.53</v>
      </c>
      <c r="CE191" s="52"/>
      <c r="CF191" s="107">
        <f t="shared" si="1538"/>
        <v>161.30000000000001</v>
      </c>
      <c r="CG191" s="104">
        <f>CD191/CF191</f>
        <v>0.83403595784252937</v>
      </c>
      <c r="CH191" s="53">
        <f t="shared" si="1540"/>
        <v>1.1864167419363381</v>
      </c>
      <c r="CI191" s="119">
        <f t="shared" si="1541"/>
        <v>2.194276640272641</v>
      </c>
      <c r="CJ191" s="53">
        <f t="shared" si="1542"/>
        <v>1.8001729863717533</v>
      </c>
      <c r="CK191" s="209"/>
      <c r="CL191" s="209">
        <f t="shared" si="1543"/>
        <v>118.5</v>
      </c>
      <c r="CM191" s="110">
        <f t="shared" si="1189"/>
        <v>1.1850389830028689</v>
      </c>
      <c r="CN191" s="64">
        <f>IF(SeilBeregnet=0,"-",(SeilBeregnet)^(1/2)*StHfaktor/(Depl+DeplTillegg/1000+Vann/1000+Diesel/1000*0.84)^(1/3))</f>
        <v>4.4373171104943729</v>
      </c>
      <c r="CO191" s="64">
        <f t="shared" si="1140"/>
        <v>1.8229886645925357</v>
      </c>
      <c r="CP191" s="64">
        <f t="shared" si="1141"/>
        <v>1.8478837127354022</v>
      </c>
      <c r="CQ191" s="110">
        <f t="shared" si="1142"/>
        <v>1.0020225033387065</v>
      </c>
      <c r="CR191" s="172">
        <f t="shared" si="1563"/>
        <v>1.0249411764705882</v>
      </c>
      <c r="CS191" s="163">
        <f>CS186</f>
        <v>0.99</v>
      </c>
      <c r="CT191" s="172">
        <f t="shared" si="1373"/>
        <v>0.98035087719298253</v>
      </c>
      <c r="CU191" s="163">
        <f>CU186</f>
        <v>1.27</v>
      </c>
      <c r="CV191" s="195" t="s">
        <v>145</v>
      </c>
      <c r="CW191" s="64">
        <v>1.17</v>
      </c>
      <c r="CX191" s="64">
        <v>1.04</v>
      </c>
      <c r="CY191" s="64">
        <v>1.17</v>
      </c>
      <c r="CZ191" s="154" t="s">
        <v>111</v>
      </c>
      <c r="DA191" s="64">
        <f t="shared" si="1397"/>
        <v>1.9148737503548841</v>
      </c>
      <c r="DB191" s="49">
        <f t="shared" si="1398"/>
        <v>11.649294911097483</v>
      </c>
      <c r="DC191" s="50">
        <f t="shared" si="1399"/>
        <v>0</v>
      </c>
      <c r="DE191" s="110">
        <f>IF(SeilBeregnet=0,"-",DE$7*(DG:DG+DE$6)*DL:DL*PropF+ErfaringsF+Dyp_F)</f>
        <v>1.160353247454321</v>
      </c>
      <c r="DF191" s="144" t="str">
        <f t="shared" ref="DF191:DF197" si="1570">IF($DQ191=0,"-",(DE191-$DO191)*100)</f>
        <v>-</v>
      </c>
      <c r="DG191" s="110">
        <f t="shared" si="1400"/>
        <v>6.3344285348489437</v>
      </c>
      <c r="DH191" s="136">
        <f t="shared" si="1544"/>
        <v>4.4764579229929469</v>
      </c>
      <c r="DI191" s="136">
        <f t="shared" si="1545"/>
        <v>0</v>
      </c>
      <c r="DJ191" s="136">
        <f t="shared" si="1546"/>
        <v>0</v>
      </c>
      <c r="DK191" s="136">
        <f t="shared" si="1547"/>
        <v>1.8579706118559971</v>
      </c>
      <c r="DL191" s="110">
        <f t="shared" si="1548"/>
        <v>1.8478837127354022</v>
      </c>
      <c r="DM191" s="136">
        <f t="shared" si="1549"/>
        <v>1.9416079083690583</v>
      </c>
      <c r="DO191" s="110">
        <f t="shared" si="344"/>
        <v>1.2092234520437437</v>
      </c>
      <c r="DP191" s="110">
        <f t="shared" si="1401"/>
        <v>1.1907663728473592</v>
      </c>
      <c r="DR191" s="110">
        <f t="shared" si="1402"/>
        <v>1.1605108477103674</v>
      </c>
      <c r="DS191" s="125" t="str">
        <f t="shared" ref="DS191:DS197" si="1571">IF($DQ191=0,"-",DR191-$DO191)</f>
        <v>-</v>
      </c>
      <c r="DT191" s="110">
        <f t="shared" si="1403"/>
        <v>1.2279096278890158</v>
      </c>
      <c r="DU191" s="125" t="str">
        <f t="shared" ref="DU191:DU197" si="1572">IF($DQ191=0,"-",DT191-$DO191)</f>
        <v>-</v>
      </c>
      <c r="DV191" s="110">
        <f t="shared" si="214"/>
        <v>4.4760743333682731</v>
      </c>
      <c r="DW191" s="110">
        <f t="shared" si="215"/>
        <v>2.2674129716058933</v>
      </c>
      <c r="DX191" s="110">
        <f t="shared" si="1341"/>
        <v>1.6056448217209125</v>
      </c>
      <c r="DZ191" s="110">
        <f t="shared" si="1404"/>
        <v>1.2040582298158762</v>
      </c>
      <c r="EB191" s="110">
        <f t="shared" si="217"/>
        <v>4.4760743333682731</v>
      </c>
      <c r="EC191" s="110">
        <f t="shared" si="1342"/>
        <v>2.2675800519171947</v>
      </c>
      <c r="ED191" s="110">
        <f t="shared" si="1343"/>
        <v>1.8800607846552968</v>
      </c>
      <c r="EE191" s="110">
        <f t="shared" si="1405"/>
        <v>1.1995757091827406</v>
      </c>
      <c r="EG191" s="110">
        <f t="shared" si="1344"/>
        <v>7.1869855750106533</v>
      </c>
      <c r="EH191" s="110">
        <f t="shared" si="219"/>
        <v>4.4760743333682731</v>
      </c>
      <c r="EI191" s="110">
        <f t="shared" si="1345"/>
        <v>1.6056448217209125</v>
      </c>
      <c r="EJ191" s="110">
        <f t="shared" si="1346"/>
        <v>1.8478837127354022</v>
      </c>
      <c r="EK191" s="110">
        <f>IF(SeilBeregnet=0,"-",EK$7*(EK$4*EM:EM+EK$6)*EP:EP*PropF+ErfaringsF+Dyp_F)</f>
        <v>1.1638497477256555</v>
      </c>
      <c r="EM191" s="110">
        <f>IF(SeilBeregnet=0,EM190,(EN:EN*EO:EO)^EM$3)</f>
        <v>2.1429127078512762</v>
      </c>
      <c r="EN191" s="110">
        <f t="shared" si="220"/>
        <v>4.4760743333682731</v>
      </c>
      <c r="EO191" s="110">
        <f t="shared" si="1347"/>
        <v>1.0259156867073127</v>
      </c>
      <c r="EP191" s="110">
        <f t="shared" si="1348"/>
        <v>1.8589566686871406</v>
      </c>
      <c r="EQ191" s="110">
        <f>IF(SeilBeregnet=0,"-",EQ$7*(ES:ES+EQ$6)*EV:EV*PropF+ErfaringsF+Dyp_F)</f>
        <v>1.0699342444189137</v>
      </c>
      <c r="ES191" s="110">
        <f>(ET:ET*EU:EU)^ES$3</f>
        <v>2.1430045273129266</v>
      </c>
      <c r="ET191" s="110">
        <f t="shared" si="221"/>
        <v>4.4764579229929469</v>
      </c>
      <c r="EU191" s="110">
        <f t="shared" si="1349"/>
        <v>1.0259156867073127</v>
      </c>
      <c r="EV191" s="110">
        <f t="shared" si="1350"/>
        <v>1.8589566686871406</v>
      </c>
      <c r="EW191" s="110">
        <f>IF(SeilBeregnet=0,"-",EW$7*(EY:EY+EW$6)*FB:FB*PropF+ErfaringsF+Dyp_F)</f>
        <v>1.1775267863034522</v>
      </c>
      <c r="EX191" s="144" t="str">
        <f t="shared" ref="EX191:EX197" si="1573">IF($DQ191=0,"-",(EW191-$DO191)*100)</f>
        <v>-</v>
      </c>
      <c r="EY191" s="110">
        <f>(EZ:EZ*FA:FA)^EY$3</f>
        <v>4.7114853764571647</v>
      </c>
      <c r="EZ191" s="136">
        <f t="shared" si="1352"/>
        <v>4.4764579229929469</v>
      </c>
      <c r="FA191" s="136">
        <f t="shared" si="1353"/>
        <v>1.0525029962321368</v>
      </c>
      <c r="FB191" s="110">
        <f t="shared" si="1354"/>
        <v>1.0453681565409634</v>
      </c>
      <c r="FC191" s="110">
        <f>IF(SeilBeregnet=0,"-",FC$7*(FE:FE+FC$6)*FI:FI*PropF+ErfaringsF+Dyp_F)</f>
        <v>1.1890515427839392</v>
      </c>
      <c r="FD191" s="144" t="str">
        <f t="shared" ref="FD191:FD197" si="1574">IF($DQ191=0,"-",(FC191-$DO191)*100)</f>
        <v>-</v>
      </c>
      <c r="FE191" s="110">
        <f>(FF:FF+FG:FG+FH:FH)^FE$3+FE$7</f>
        <v>6.8291718302580087</v>
      </c>
      <c r="FF191" s="136">
        <f t="shared" si="1356"/>
        <v>4.4764579229929469</v>
      </c>
      <c r="FG191" s="136">
        <f t="shared" si="1357"/>
        <v>0.99474329540906514</v>
      </c>
      <c r="FH191" s="136">
        <f t="shared" si="1358"/>
        <v>1.8579706118559971</v>
      </c>
      <c r="FI191" s="110">
        <f t="shared" si="1359"/>
        <v>1.8478837127354022</v>
      </c>
      <c r="FJ191" s="110">
        <f>IF(SeilBeregnet=0,"-",FJ$7*(FL:FL+FJ$6)*FO:FO*PropF+ErfaringsF+Dyp_F)</f>
        <v>1.1616470125776441</v>
      </c>
      <c r="FK191" s="144" t="str">
        <f t="shared" ref="FK191:FK197" si="1575">IF($DQ191=0,"-",(FJ191-$DO191)*100)</f>
        <v>-</v>
      </c>
      <c r="FL191" s="110">
        <f>(FM:FM*FN:FN)^FL$3</f>
        <v>8.3171272661308322</v>
      </c>
      <c r="FM191" s="136">
        <f t="shared" si="1361"/>
        <v>4.4764579229929469</v>
      </c>
      <c r="FN191" s="136">
        <f t="shared" si="1362"/>
        <v>1.8579706118559971</v>
      </c>
      <c r="FO191" s="110">
        <f t="shared" si="1363"/>
        <v>1.8478837127354022</v>
      </c>
      <c r="FQ191">
        <v>0.95</v>
      </c>
      <c r="FR191" s="64">
        <f t="shared" si="1506"/>
        <v>1.3587909889519267</v>
      </c>
      <c r="FS191" s="479"/>
      <c r="FT191" s="18"/>
      <c r="FU191" s="481"/>
      <c r="FV191" s="504"/>
      <c r="FW191" s="18"/>
      <c r="FX191" s="18"/>
      <c r="FY191" s="18"/>
      <c r="FZ191" s="18"/>
      <c r="GB191" s="18"/>
      <c r="GC191" s="481"/>
      <c r="GD191" s="8"/>
      <c r="GE191" s="8"/>
      <c r="GF191" s="8"/>
      <c r="GG191" s="8"/>
      <c r="GI191" s="18"/>
      <c r="GJ191" s="18"/>
      <c r="GK191" s="18"/>
      <c r="GL191" s="18"/>
      <c r="GM191" s="18"/>
      <c r="GN191" s="18"/>
      <c r="GO191" s="18"/>
      <c r="GP191" s="18"/>
    </row>
    <row r="192" spans="1:198" ht="15.6" x14ac:dyDescent="0.3">
      <c r="A192" s="62" t="s">
        <v>159</v>
      </c>
      <c r="B192" s="223"/>
      <c r="C192" s="14" t="s">
        <v>22</v>
      </c>
      <c r="G192" s="56"/>
      <c r="H192" s="209">
        <f t="shared" si="1515"/>
        <v>114.00000000000001</v>
      </c>
      <c r="I192" s="65">
        <f t="shared" si="1516"/>
        <v>3</v>
      </c>
      <c r="J192" s="228">
        <f t="shared" si="1517"/>
        <v>140.19999999999999</v>
      </c>
      <c r="K192" s="119">
        <f t="shared" si="1518"/>
        <v>1.9072385924750417</v>
      </c>
      <c r="L192" s="119">
        <f t="shared" si="1519"/>
        <v>1.5646884853646608</v>
      </c>
      <c r="M192" s="95">
        <f t="shared" si="1520"/>
        <v>0.85420827389443665</v>
      </c>
      <c r="N192" s="265">
        <f t="shared" si="1521"/>
        <v>1.0020225033387065</v>
      </c>
      <c r="O192" s="147"/>
      <c r="P192" s="169">
        <v>65</v>
      </c>
      <c r="Q192" s="147"/>
      <c r="R192" s="147"/>
      <c r="S192" s="147"/>
      <c r="T192" s="147"/>
      <c r="U192" s="169">
        <v>57.2</v>
      </c>
      <c r="V192" s="148"/>
      <c r="W192" s="148"/>
      <c r="X192" s="148"/>
      <c r="Y192" s="169">
        <v>18</v>
      </c>
      <c r="Z192" s="147"/>
      <c r="AA192" s="147"/>
      <c r="AB192" s="147"/>
      <c r="AC192" s="147"/>
      <c r="AD192" s="148"/>
      <c r="AE192" s="260">
        <f t="shared" si="1550"/>
        <v>11.85</v>
      </c>
      <c r="AF192" s="375">
        <f t="shared" si="1523"/>
        <v>0</v>
      </c>
      <c r="AG192" s="377"/>
      <c r="AH192" s="375">
        <f t="shared" si="1523"/>
        <v>0</v>
      </c>
      <c r="AI192" s="377"/>
      <c r="AJ192" s="295" t="str">
        <f t="shared" ref="AJ192" si="1576" xml:space="preserve"> AJ191</f>
        <v>Lystb</v>
      </c>
      <c r="AK192" s="47">
        <f>VLOOKUP(AJ192,Skrogform!$1:$1048576,3,FALSE)</f>
        <v>0.98</v>
      </c>
      <c r="AL192" s="66">
        <f t="shared" si="1550"/>
        <v>12.6</v>
      </c>
      <c r="AM192" s="66">
        <f t="shared" si="1552"/>
        <v>11.66</v>
      </c>
      <c r="AN192" s="66">
        <f t="shared" si="1553"/>
        <v>3.65</v>
      </c>
      <c r="AO192" s="66">
        <f t="shared" si="1554"/>
        <v>1.9</v>
      </c>
      <c r="AP192" s="66">
        <f t="shared" si="1555"/>
        <v>17.399999999999999</v>
      </c>
      <c r="AQ192" s="66">
        <f t="shared" si="1556"/>
        <v>4.5</v>
      </c>
      <c r="AR192" s="66">
        <f t="shared" si="1557"/>
        <v>0.8</v>
      </c>
      <c r="AS192" s="284">
        <f t="shared" si="1557"/>
        <v>40</v>
      </c>
      <c r="AT192" s="284">
        <f t="shared" si="1557"/>
        <v>200</v>
      </c>
      <c r="AU192" s="284">
        <f t="shared" ref="AU192:AV192" si="1577">AU191</f>
        <v>200</v>
      </c>
      <c r="AV192" s="284">
        <f t="shared" si="1577"/>
        <v>200</v>
      </c>
      <c r="AW192" s="284"/>
      <c r="AX192" s="284">
        <f t="shared" si="1532"/>
        <v>0</v>
      </c>
      <c r="AY192" s="68"/>
      <c r="AZ192" s="68"/>
      <c r="BA192" s="289"/>
      <c r="BB192" s="68"/>
      <c r="BC192" s="179"/>
      <c r="BD192" s="68"/>
      <c r="BE192" s="68"/>
      <c r="BF192" s="67" t="str">
        <f t="shared" ref="BF192:BH192" si="1578" xml:space="preserve"> BF191</f>
        <v>Fast</v>
      </c>
      <c r="BG192" s="295">
        <f t="shared" si="1578"/>
        <v>4</v>
      </c>
      <c r="BH192" s="295">
        <f t="shared" si="1578"/>
        <v>50</v>
      </c>
      <c r="BI192" s="47">
        <f t="shared" si="1370"/>
        <v>0.98149201307666778</v>
      </c>
      <c r="BJ192" s="61"/>
      <c r="BK192" s="61"/>
      <c r="BM192" s="51">
        <f t="shared" si="1534"/>
        <v>0</v>
      </c>
      <c r="BN192" s="51">
        <f t="shared" si="1534"/>
        <v>65</v>
      </c>
      <c r="BO192" s="51">
        <f t="shared" si="1534"/>
        <v>0</v>
      </c>
      <c r="BP192" s="51">
        <f t="shared" si="1534"/>
        <v>0</v>
      </c>
      <c r="BQ192" s="51">
        <f t="shared" si="1534"/>
        <v>0</v>
      </c>
      <c r="BR192" s="51">
        <f t="shared" si="1534"/>
        <v>0</v>
      </c>
      <c r="BS192" s="52">
        <f t="shared" si="1535"/>
        <v>0</v>
      </c>
      <c r="BT192" s="88">
        <f t="shared" si="1536"/>
        <v>45.760000000000005</v>
      </c>
      <c r="BU192" s="88">
        <f t="shared" si="1536"/>
        <v>0</v>
      </c>
      <c r="BV192" s="88">
        <f t="shared" si="1536"/>
        <v>0</v>
      </c>
      <c r="BW192" s="88">
        <f t="shared" si="1536"/>
        <v>0</v>
      </c>
      <c r="BX192" s="88">
        <f t="shared" si="1536"/>
        <v>9</v>
      </c>
      <c r="BY192" s="88">
        <f t="shared" si="1536"/>
        <v>0</v>
      </c>
      <c r="BZ192" s="88">
        <f t="shared" si="1536"/>
        <v>0</v>
      </c>
      <c r="CA192" s="88">
        <f t="shared" si="1536"/>
        <v>0</v>
      </c>
      <c r="CB192" s="88">
        <f t="shared" si="1536"/>
        <v>0</v>
      </c>
      <c r="CC192" s="88">
        <f t="shared" si="1536"/>
        <v>0</v>
      </c>
      <c r="CD192" s="103">
        <f t="shared" si="1537"/>
        <v>119.76</v>
      </c>
      <c r="CE192" s="52"/>
      <c r="CF192" s="107">
        <f t="shared" si="1538"/>
        <v>140.19999999999999</v>
      </c>
      <c r="CG192" s="104">
        <f>CD192/CF192</f>
        <v>0.85420827389443665</v>
      </c>
      <c r="CH192" s="53">
        <f t="shared" si="1540"/>
        <v>1.0312190156198051</v>
      </c>
      <c r="CI192" s="119">
        <f t="shared" si="1541"/>
        <v>1.9072385924750417</v>
      </c>
      <c r="CJ192" s="53">
        <f t="shared" si="1542"/>
        <v>1.5646884853646608</v>
      </c>
      <c r="CK192" s="209"/>
      <c r="CL192" s="209">
        <f t="shared" si="1543"/>
        <v>114.00000000000001</v>
      </c>
      <c r="CM192" s="110">
        <f t="shared" si="1189"/>
        <v>1.1375894195996816</v>
      </c>
      <c r="CN192" s="64">
        <f>IF(SeilBeregnet=0,"-",(SeilBeregnet)^(1/2)*StHfaktor/(Depl+DeplTillegg/1000+Vann/1000+Diesel/1000*0.84)^(1/3))</f>
        <v>4.1866512842566497</v>
      </c>
      <c r="CO192" s="64">
        <f t="shared" si="1140"/>
        <v>1.8229886645925357</v>
      </c>
      <c r="CP192" s="64">
        <f t="shared" si="1141"/>
        <v>1.8478837127354022</v>
      </c>
      <c r="CQ192" s="110">
        <f t="shared" si="1142"/>
        <v>1.0020225033387065</v>
      </c>
      <c r="CR192" s="172" t="str">
        <f t="shared" si="1563"/>
        <v>-</v>
      </c>
      <c r="CS192" s="162"/>
      <c r="CT192" s="172" t="str">
        <f t="shared" si="1373"/>
        <v>-</v>
      </c>
      <c r="CU192" s="164"/>
      <c r="CV192" s="195" t="s">
        <v>145</v>
      </c>
      <c r="CW192" s="64">
        <v>1.1200000000000001</v>
      </c>
      <c r="CX192" s="64">
        <v>1.01</v>
      </c>
      <c r="CY192" s="64">
        <v>1.1299999999999999</v>
      </c>
      <c r="CZ192" s="154" t="s">
        <v>111</v>
      </c>
      <c r="DA192" s="64">
        <f t="shared" si="1397"/>
        <v>1.9148737503548841</v>
      </c>
      <c r="DB192" s="49">
        <f t="shared" si="1398"/>
        <v>11.649294911097483</v>
      </c>
      <c r="DC192" s="50">
        <f t="shared" si="1399"/>
        <v>0</v>
      </c>
      <c r="DE192" s="110">
        <f>IF(SeilBeregnet=0,"-",DE$7*(DG:DG+DE$6)*DL:DL*PropF+ErfaringsF+Dyp_F)</f>
        <v>1.114030751588563</v>
      </c>
      <c r="DF192" s="144" t="str">
        <f t="shared" si="1570"/>
        <v>-</v>
      </c>
      <c r="DG192" s="110">
        <f t="shared" si="1400"/>
        <v>6.0815516283885858</v>
      </c>
      <c r="DH192" s="136">
        <f t="shared" si="1544"/>
        <v>4.2235810165325889</v>
      </c>
      <c r="DI192" s="136">
        <f t="shared" si="1545"/>
        <v>0</v>
      </c>
      <c r="DJ192" s="136">
        <f t="shared" si="1546"/>
        <v>0</v>
      </c>
      <c r="DK192" s="136">
        <f t="shared" si="1547"/>
        <v>1.8579706118559971</v>
      </c>
      <c r="DL192" s="110">
        <f t="shared" si="1548"/>
        <v>1.8478837127354022</v>
      </c>
      <c r="DM192" s="136">
        <f t="shared" si="1549"/>
        <v>1.9416079083690583</v>
      </c>
      <c r="DO192" s="110">
        <f t="shared" si="344"/>
        <v>1.160805530203757</v>
      </c>
      <c r="DP192" s="110">
        <f t="shared" si="1401"/>
        <v>1.1346457177991618</v>
      </c>
      <c r="DR192" s="110">
        <f t="shared" si="1402"/>
        <v>1.1139297833760278</v>
      </c>
      <c r="DS192" s="125" t="str">
        <f t="shared" si="1571"/>
        <v>-</v>
      </c>
      <c r="DT192" s="110">
        <f t="shared" si="1403"/>
        <v>1.1712887815876212</v>
      </c>
      <c r="DU192" s="125" t="str">
        <f t="shared" si="1572"/>
        <v>-</v>
      </c>
      <c r="DV192" s="110">
        <f t="shared" si="214"/>
        <v>4.2232190960399185</v>
      </c>
      <c r="DW192" s="110">
        <f t="shared" si="215"/>
        <v>2.2674129716058933</v>
      </c>
      <c r="DX192" s="110">
        <f t="shared" si="1341"/>
        <v>1.6056448217209125</v>
      </c>
      <c r="DZ192" s="110">
        <f t="shared" si="1404"/>
        <v>1.1525435319857322</v>
      </c>
      <c r="EB192" s="110">
        <f t="shared" si="217"/>
        <v>4.2232190960399185</v>
      </c>
      <c r="EC192" s="110">
        <f t="shared" si="1342"/>
        <v>2.2675800519171947</v>
      </c>
      <c r="ED192" s="110">
        <f t="shared" si="1343"/>
        <v>1.8800607846552968</v>
      </c>
      <c r="EE192" s="110">
        <f t="shared" si="1405"/>
        <v>1.146563480228133</v>
      </c>
      <c r="EG192" s="110">
        <f t="shared" si="1344"/>
        <v>6.7809898725493678</v>
      </c>
      <c r="EH192" s="110">
        <f t="shared" si="219"/>
        <v>4.2232190960399185</v>
      </c>
      <c r="EI192" s="110">
        <f t="shared" si="1345"/>
        <v>1.6056448217209125</v>
      </c>
      <c r="EJ192" s="110">
        <f t="shared" si="1346"/>
        <v>1.8478837127354022</v>
      </c>
      <c r="EK192" s="110">
        <f>IF(SeilBeregnet=0,"-",EK$7*(EK$4*EM:EM+EK$6)*EP:EP*PropF+ErfaringsF+Dyp_F)</f>
        <v>1.1203487610923248</v>
      </c>
      <c r="EM192" s="110">
        <f>IF(SeilBeregnet=0,EM191,(EN:EN*EO:EO)^EM$3)</f>
        <v>2.0815058777311268</v>
      </c>
      <c r="EN192" s="110">
        <f t="shared" si="220"/>
        <v>4.2232190960399185</v>
      </c>
      <c r="EO192" s="110">
        <f t="shared" si="1347"/>
        <v>1.0259156867073127</v>
      </c>
      <c r="EP192" s="110">
        <f t="shared" si="1348"/>
        <v>1.8589566686871406</v>
      </c>
      <c r="EQ192" s="110">
        <f>IF(SeilBeregnet=0,"-",EQ$7*(ES:ES+EQ$6)*EV:EV*PropF+ErfaringsF+Dyp_F)</f>
        <v>1.0392744465904515</v>
      </c>
      <c r="ES192" s="110">
        <f>(ET:ET*EU:EU)^ES$3</f>
        <v>2.0815950660346987</v>
      </c>
      <c r="ET192" s="110">
        <f t="shared" si="221"/>
        <v>4.2235810165325889</v>
      </c>
      <c r="EU192" s="110">
        <f t="shared" si="1349"/>
        <v>1.0259156867073127</v>
      </c>
      <c r="EV192" s="110">
        <f t="shared" si="1350"/>
        <v>1.8589566686871406</v>
      </c>
      <c r="EW192" s="110">
        <f>IF(SeilBeregnet=0,"-",EW$7*(EY:EY+EW$6)*FB:FB*PropF+ErfaringsF+Dyp_F)</f>
        <v>1.1308302511136044</v>
      </c>
      <c r="EX192" s="144" t="str">
        <f t="shared" si="1573"/>
        <v>-</v>
      </c>
      <c r="EY192" s="110">
        <f>(EZ:EZ*FA:FA)^EY$3</f>
        <v>4.445331674729724</v>
      </c>
      <c r="EZ192" s="136">
        <f t="shared" si="1352"/>
        <v>4.2235810165325889</v>
      </c>
      <c r="FA192" s="136">
        <f t="shared" si="1353"/>
        <v>1.0525029962321368</v>
      </c>
      <c r="FB192" s="110">
        <f t="shared" si="1354"/>
        <v>1.0453681565409634</v>
      </c>
      <c r="FC192" s="110">
        <f>IF(SeilBeregnet=0,"-",FC$7*(FE:FE+FC$6)*FI:FI*PropF+ErfaringsF+Dyp_F)</f>
        <v>1.1352381974182266</v>
      </c>
      <c r="FD192" s="144" t="str">
        <f t="shared" si="1574"/>
        <v>-</v>
      </c>
      <c r="FE192" s="110">
        <f>(FF:FF+FG:FG+FH:FH)^FE$3+FE$7</f>
        <v>6.5201014754077589</v>
      </c>
      <c r="FF192" s="136">
        <f t="shared" si="1356"/>
        <v>4.2235810165325889</v>
      </c>
      <c r="FG192" s="136">
        <f t="shared" si="1357"/>
        <v>0.93854984701917332</v>
      </c>
      <c r="FH192" s="136">
        <f t="shared" si="1358"/>
        <v>1.8579706118559971</v>
      </c>
      <c r="FI192" s="110">
        <f t="shared" si="1359"/>
        <v>1.8478837127354022</v>
      </c>
      <c r="FJ192" s="110">
        <f>IF(SeilBeregnet=0,"-",FJ$7*(FL:FL+FJ$6)*FO:FO*PropF+ErfaringsF+Dyp_F)</f>
        <v>1.1173358890994982</v>
      </c>
      <c r="FK192" s="144" t="str">
        <f t="shared" si="1575"/>
        <v>-</v>
      </c>
      <c r="FL192" s="110">
        <f>(FM:FM*FN:FN)^FL$3</f>
        <v>7.8472894055104288</v>
      </c>
      <c r="FM192" s="136">
        <f t="shared" si="1361"/>
        <v>4.2235810165325889</v>
      </c>
      <c r="FN192" s="136">
        <f t="shared" si="1362"/>
        <v>1.8579706118559971</v>
      </c>
      <c r="FO192" s="110">
        <f t="shared" si="1363"/>
        <v>1.8478837127354022</v>
      </c>
      <c r="FQ192">
        <v>0.95</v>
      </c>
      <c r="FR192" s="64">
        <f t="shared" si="1506"/>
        <v>1.3172745162238373</v>
      </c>
      <c r="FS192" s="479"/>
      <c r="FT192" s="18"/>
      <c r="FU192" s="481"/>
      <c r="FV192" s="504"/>
      <c r="FW192" s="18"/>
      <c r="FX192" s="18"/>
      <c r="FY192" s="18"/>
      <c r="FZ192" s="18"/>
      <c r="GB192" s="18"/>
      <c r="GC192" s="481"/>
      <c r="GD192" s="8"/>
      <c r="GE192" s="8"/>
      <c r="GF192" s="8"/>
      <c r="GG192" s="8"/>
      <c r="GI192" s="18"/>
      <c r="GJ192" s="18"/>
      <c r="GK192" s="18"/>
      <c r="GL192" s="18"/>
      <c r="GM192" s="18"/>
      <c r="GN192" s="18"/>
      <c r="GO192" s="18"/>
      <c r="GP192" s="18"/>
    </row>
    <row r="193" spans="1:198" ht="15.6" customHeight="1" x14ac:dyDescent="0.3">
      <c r="A193" s="54" t="s">
        <v>588</v>
      </c>
      <c r="B193" s="223">
        <f t="shared" ref="B193" si="1579">Loa/0.3048</f>
        <v>28.871391076115486</v>
      </c>
      <c r="C193" s="55" t="s">
        <v>22</v>
      </c>
      <c r="D193" s="55"/>
      <c r="E193" s="55"/>
      <c r="F193" s="55"/>
      <c r="G193" s="56" t="s">
        <v>23</v>
      </c>
      <c r="H193" s="209"/>
      <c r="I193" s="126" t="str">
        <f>A193</f>
        <v>Ørnen</v>
      </c>
      <c r="J193" s="229"/>
      <c r="K193" s="119"/>
      <c r="L193" s="119"/>
      <c r="M193" s="95"/>
      <c r="N193" s="265"/>
      <c r="O193" s="169"/>
      <c r="P193" s="169"/>
      <c r="Q193" s="169">
        <v>10.9</v>
      </c>
      <c r="R193" s="169"/>
      <c r="S193" s="169"/>
      <c r="T193" s="169">
        <v>9.1999999999999993</v>
      </c>
      <c r="U193" s="169">
        <v>29.9</v>
      </c>
      <c r="V193" s="169">
        <v>24</v>
      </c>
      <c r="W193" s="181">
        <f>StorS-StorS/6*1.9</f>
        <v>20.431666666666665</v>
      </c>
      <c r="X193" s="169"/>
      <c r="Y193" s="169">
        <v>7.4</v>
      </c>
      <c r="Z193" s="169"/>
      <c r="AA193" s="169"/>
      <c r="AB193" s="169"/>
      <c r="AC193" s="169"/>
      <c r="AD193" s="169"/>
      <c r="AE193" s="270">
        <v>8.5500000000000007</v>
      </c>
      <c r="AF193" s="296"/>
      <c r="AG193" s="377"/>
      <c r="AH193" s="296"/>
      <c r="AI193" s="377"/>
      <c r="AJ193" s="296" t="s">
        <v>229</v>
      </c>
      <c r="AK193" s="47">
        <f>VLOOKUP(AJ193,Skrogform!$1:$1048576,3,FALSE)</f>
        <v>0.97</v>
      </c>
      <c r="AL193" s="57">
        <v>8.8000000000000007</v>
      </c>
      <c r="AM193" s="57">
        <v>7.7</v>
      </c>
      <c r="AN193" s="57">
        <v>3.15</v>
      </c>
      <c r="AO193" s="57">
        <v>1.4</v>
      </c>
      <c r="AP193" s="57">
        <v>7</v>
      </c>
      <c r="AQ193" s="57">
        <v>2.5</v>
      </c>
      <c r="AR193" s="57"/>
      <c r="AS193" s="281">
        <v>40</v>
      </c>
      <c r="AT193" s="281">
        <v>270</v>
      </c>
      <c r="AU193" s="281">
        <f>ROUND(Depl*10,-2)</f>
        <v>100</v>
      </c>
      <c r="AV193" s="281">
        <f>ROUND(Depl*10,-2)</f>
        <v>100</v>
      </c>
      <c r="AW193" s="270">
        <f>Depl+Diesel/1000+Vann/1000</f>
        <v>7.1999999999999993</v>
      </c>
      <c r="AX193" s="281"/>
      <c r="AY193" s="98">
        <f>Bredde/(Loa+Lwl)*2</f>
        <v>0.38181818181818183</v>
      </c>
      <c r="AZ193" s="98">
        <f>(Kjøl+Ballast)/Depl</f>
        <v>0.35714285714285715</v>
      </c>
      <c r="BA193" s="288">
        <f>BA$7*((Depl-Kjøl-Ballast-VektMotor/1000-VektAnnet/1000)/Loa/Lwl/Bredde)</f>
        <v>0.85747709798361582</v>
      </c>
      <c r="BB193" s="98">
        <f>BB$7*(Depl/Loa/Lwl/Lwl)</f>
        <v>1.007446696076735</v>
      </c>
      <c r="BC193" s="178">
        <f>BC$7*(Depl/Loa/Lwl/Bredde)</f>
        <v>0.9102790762113584</v>
      </c>
      <c r="BD193" s="98">
        <f>BD$7*Bredde/(Loa+Lwl)*2</f>
        <v>1.0892082111436949</v>
      </c>
      <c r="BE193" s="98">
        <f>BE$7*(Dypg/Lwl)</f>
        <v>0.99446640316205526</v>
      </c>
      <c r="BF193" s="58" t="s">
        <v>42</v>
      </c>
      <c r="BG193" s="296">
        <v>3</v>
      </c>
      <c r="BH193" s="296">
        <v>40</v>
      </c>
      <c r="BI193" s="47">
        <f>IF((BF193="Fast"),(1.006248-(0.06415*((BH193/100*SQRT(BG193))/POWER(AP193,(1/3))))),1)</f>
        <v>0.98301432378494424</v>
      </c>
      <c r="BJ193" s="61"/>
      <c r="BK193" s="61"/>
      <c r="BM193" s="214"/>
      <c r="BN193" s="214" t="str">
        <f>$A193</f>
        <v>Ørnen</v>
      </c>
      <c r="BO193" s="10"/>
      <c r="BP193" s="10"/>
      <c r="BQ193" s="10"/>
      <c r="BR193" s="10"/>
      <c r="BS193" s="52"/>
      <c r="BT193" s="214" t="str">
        <f>$A193</f>
        <v>Ørnen</v>
      </c>
      <c r="BU193" s="10"/>
      <c r="BV193" s="10"/>
      <c r="BW193" s="10"/>
      <c r="BX193" s="10"/>
      <c r="BY193" s="10"/>
      <c r="BZ193" s="10"/>
      <c r="CA193" s="10"/>
      <c r="CB193" s="10"/>
      <c r="CC193" s="10"/>
      <c r="CD193" s="214"/>
      <c r="CE193" s="10"/>
      <c r="CF193" s="214" t="str">
        <f>$A193</f>
        <v>Ørnen</v>
      </c>
      <c r="CG193" s="212"/>
      <c r="CH193" s="212"/>
      <c r="CI193" s="119"/>
      <c r="CJ193" s="212"/>
      <c r="CK193" s="208"/>
      <c r="CL193" s="208" t="s">
        <v>26</v>
      </c>
      <c r="CM193" s="110" t="str">
        <f t="shared" si="234"/>
        <v>-</v>
      </c>
      <c r="CN193" s="64" t="str">
        <f>IF(SeilBeregnet=0,"-",(SeilBeregnet)^(1/2)*StHfaktor/(Depl+DeplTillegg/1000+Vann/1000+Diesel/1000*0.84)^(1/3))</f>
        <v>-</v>
      </c>
      <c r="CO193" s="64" t="str">
        <f t="shared" si="203"/>
        <v>-</v>
      </c>
      <c r="CP193" s="64" t="str">
        <f t="shared" si="204"/>
        <v>-</v>
      </c>
      <c r="CQ193" s="110" t="str">
        <f t="shared" si="205"/>
        <v>-</v>
      </c>
      <c r="CR193" s="172">
        <f>IF(CS193=0,"-",IF(CH193="TBF","-",CR$7*CS193))</f>
        <v>0.84894117647058831</v>
      </c>
      <c r="CS193" s="162">
        <v>0.82</v>
      </c>
      <c r="CT193" s="172" t="str">
        <f>IF(CU193=0,"-",IF(CL193="TBF","-",CT$7*CU193))</f>
        <v>-</v>
      </c>
      <c r="CU193" s="164">
        <v>1.0900000000000001</v>
      </c>
      <c r="CV193" s="195" t="s">
        <v>145</v>
      </c>
      <c r="CW193" s="30" t="s">
        <v>26</v>
      </c>
      <c r="CX193" s="30" t="s">
        <v>26</v>
      </c>
      <c r="CY193" s="30" t="s">
        <v>26</v>
      </c>
      <c r="CZ193" s="153">
        <v>2022</v>
      </c>
      <c r="DA193" s="64" t="str">
        <f t="shared" si="392"/>
        <v>-</v>
      </c>
      <c r="DB193" s="49">
        <f t="shared" si="393"/>
        <v>11.814345991561181</v>
      </c>
      <c r="DC193" s="50">
        <f>DB$7*IF(DB193&lt;DB$5,-0.04,IF(DB193&lt;DB$5*1.1,-0.03,IF(DB193&lt;DB$5*1.2,-0.02,IF(DB193&lt;DB$5*1.3,-0.01,0))))</f>
        <v>0</v>
      </c>
      <c r="DE193" s="110" t="str">
        <f>IF(SeilBeregnet=0,"-",DE$7*(DG:DG+DE$6)*DL:DL*PropF+ErfaringsF+Dyp_F)</f>
        <v>-</v>
      </c>
      <c r="DF193" s="144" t="str">
        <f t="shared" si="1570"/>
        <v>-</v>
      </c>
      <c r="DG193" s="110">
        <f>SUM(DH193:DK193)^DG$3+DG$7</f>
        <v>6.0815516283885858</v>
      </c>
      <c r="DH193" s="136">
        <f t="shared" ref="DH193:DH203" si="1580">IF(SeilBeregnet=0,DH192,(SeilBeregnet^0.5/(Depl^0.3333))^DH$3*DH$7)</f>
        <v>4.2235810165325889</v>
      </c>
      <c r="DI193" s="136">
        <f t="shared" ref="DI193:DI203" si="1581">IF(SeilBeregnet=0,DI192,(SeilBeregnet^0.5/Lwl)^DI$3*DI$7)</f>
        <v>0</v>
      </c>
      <c r="DJ193" s="136">
        <f t="shared" ref="DJ193:DJ203" si="1582">IF(SeilBeregnet=0,DJ192,(0.1*Loa/Depl^0.3333)^DJ$3*DJ$7)</f>
        <v>0</v>
      </c>
      <c r="DK193" s="136">
        <f t="shared" ref="DK193:DK203" si="1583">IF(SeilBeregnet=0,DK192,((Loa)/Bredde)^DK$3*DK$7)</f>
        <v>1.8579706118559971</v>
      </c>
      <c r="DL193" s="110">
        <f t="shared" ref="DL193:DL203" si="1584">IF(SeilBeregnet=0,DL192,(Lwl)^DL$3)</f>
        <v>1.8478837127354022</v>
      </c>
      <c r="DM193" s="136">
        <f t="shared" ref="DM193:DM203" si="1585">IF(SeilBeregnet=0,DM192,(Dypg/Loa)^DM$3*5*DM$7)</f>
        <v>1.9416079083690583</v>
      </c>
      <c r="DO193" s="110" t="str">
        <f t="shared" si="733"/>
        <v>-</v>
      </c>
      <c r="DP193" s="110" t="str">
        <f t="shared" si="396"/>
        <v>-</v>
      </c>
      <c r="DR193" s="110" t="str">
        <f t="shared" si="397"/>
        <v>-</v>
      </c>
      <c r="DS193" s="125" t="str">
        <f t="shared" si="1571"/>
        <v>-</v>
      </c>
      <c r="DT193" s="110" t="str">
        <f>IF(SeilBeregnet=0,"-",DT$7*(DT$4*DV193*DW193*DX193*PropF+DT$6)+ErfaringsF+Dyp_F)</f>
        <v>-</v>
      </c>
      <c r="DU193" s="125" t="str">
        <f t="shared" si="1572"/>
        <v>-</v>
      </c>
      <c r="DV193" s="110">
        <f t="shared" ref="DV193:DV198" si="1586">IF(SeilBeregnet=0,DV192,SeilBeregnet^0.5/Depl^0.33333)</f>
        <v>4.2232190960399185</v>
      </c>
      <c r="DW193" s="110">
        <f t="shared" ref="DW193:DW198" si="1587">IF(SeilBeregnet=0,DW192,Lwl^0.3333)</f>
        <v>2.2674129716058933</v>
      </c>
      <c r="DX193" s="110">
        <f t="shared" ref="DX193:DX203" si="1588">IF(SeilBeregnet=0,DX192,((Loa+Lwl)/Bredde)^DX$3)</f>
        <v>1.6056448217209125</v>
      </c>
      <c r="DZ193" s="110" t="str">
        <f>IF(SeilBeregnet=0,"-",DZ$7*(DZ$4*EB193*EC193*ED193*PropF+DZ$6)+ErfaringsF+Dyp_F)</f>
        <v>-</v>
      </c>
      <c r="EB193" s="110">
        <f t="shared" ref="EB193:EB198" si="1589">IF(SeilBeregnet=0,EB192,SeilBeregnet^0.5/Depl^0.33333)</f>
        <v>4.2232190960399185</v>
      </c>
      <c r="EC193" s="110">
        <f t="shared" ref="EC193:EC203" si="1590">IF(SeilBeregnet=0,EC192,Lwl^EC$3)</f>
        <v>2.2675800519171947</v>
      </c>
      <c r="ED193" s="110">
        <f t="shared" ref="ED193:ED203" si="1591">IF(SeilBeregnet=0,ED192,((Loa+Lwl)/Bredde)^ED$3)</f>
        <v>1.8800607846552968</v>
      </c>
      <c r="EE193" s="110" t="str">
        <f>IF(SeilBeregnet=0,"-",EE$7*(EE$4*EG193+EE$6)*EJ193*PropF+ErfaringsF+Dyp_F)</f>
        <v>-</v>
      </c>
      <c r="EG193" s="110">
        <f t="shared" ref="EG193:EG203" si="1592">IF(SeilBeregnet=0,EG192,(EH193*EI193)^EG$3)</f>
        <v>6.7809898725493678</v>
      </c>
      <c r="EH193" s="110">
        <f t="shared" ref="EH193:EH198" si="1593">IF(SeilBeregnet=0,EH192,SeilBeregnet^0.5/Depl^0.33333)</f>
        <v>4.2232190960399185</v>
      </c>
      <c r="EI193" s="110">
        <f t="shared" ref="EI193:EI203" si="1594">IF(SeilBeregnet=0,EI192,((Loa+Lwl)/Bredde)^EI$3)</f>
        <v>1.6056448217209125</v>
      </c>
      <c r="EJ193" s="110">
        <f t="shared" ref="EJ193:EJ203" si="1595">IF(SeilBeregnet=0,EJ192,Lwl^EJ$3)</f>
        <v>1.8478837127354022</v>
      </c>
      <c r="EK193" s="110" t="str">
        <f>IF(SeilBeregnet=0,"-",EK$7*(EK$4*EM:EM+EK$6)*EP:EP*PropF+ErfaringsF+Dyp_F)</f>
        <v>-</v>
      </c>
      <c r="EM193" s="110">
        <f>IF(SeilBeregnet=0,EM192,(EN:EN*EO:EO)^EM$3)</f>
        <v>2.0815058777311268</v>
      </c>
      <c r="EN193" s="110">
        <f t="shared" ref="EN193:EN198" si="1596">IF(SeilBeregnet=0,EN192,SeilBeregnet^0.5/Depl^0.33333)</f>
        <v>4.2232190960399185</v>
      </c>
      <c r="EO193" s="110">
        <f t="shared" ref="EO193:EO203" si="1597">IF(SeilBeregnet=0,EO192,((Loa+Lwl)/Bredde/6)^EO$3)</f>
        <v>1.0259156867073127</v>
      </c>
      <c r="EP193" s="110">
        <f t="shared" ref="EP193:EP203" si="1598">IF(SeilBeregnet=0,EP192,(Lwl*0.7+Loa*0.3)^EP$3)</f>
        <v>1.8589566686871406</v>
      </c>
      <c r="EQ193" s="110" t="str">
        <f>IF(SeilBeregnet=0,"-",EQ$7*(ES:ES+EQ$6)*EV:EV*PropF+ErfaringsF+Dyp_F)</f>
        <v>-</v>
      </c>
      <c r="ES193" s="110">
        <f>(ET:ET*EU:EU)^ES$3</f>
        <v>2.0815950660346987</v>
      </c>
      <c r="ET193" s="110">
        <f t="shared" ref="ET193:ET198" si="1599">IF(SeilBeregnet=0,ET192,SeilBeregnet^0.5/Depl^0.3333)</f>
        <v>4.2235810165325889</v>
      </c>
      <c r="EU193" s="110">
        <f t="shared" ref="EU193:EU203" si="1600">IF(SeilBeregnet=0,EU192,((Loa+Lwl)/Bredde/6)^EU$3)</f>
        <v>1.0259156867073127</v>
      </c>
      <c r="EV193" s="110">
        <f t="shared" ref="EV193:EV203" si="1601">IF(SeilBeregnet=0,EV192,(Lwl*0.7+Loa*0.3)^EV$3)</f>
        <v>1.8589566686871406</v>
      </c>
      <c r="EW193" s="110" t="str">
        <f>IF(SeilBeregnet=0,"-",EW$7*(EY:EY+EW$6)*FB:FB*PropF+ErfaringsF+Dyp_F)</f>
        <v>-</v>
      </c>
      <c r="EX193" s="144" t="str">
        <f t="shared" si="1573"/>
        <v>-</v>
      </c>
      <c r="EY193" s="110">
        <f>(EZ:EZ*FA:FA)^EY$3</f>
        <v>4.445331674729724</v>
      </c>
      <c r="EZ193" s="136">
        <f t="shared" ref="EZ193:EZ203" si="1602">IF(SeilBeregnet=0,EZ192,(SeilBeregnet^0.5/(Depl^0.3333))^EZ$3)</f>
        <v>4.2235810165325889</v>
      </c>
      <c r="FA193" s="136">
        <f t="shared" ref="FA193:FA203" si="1603">IF(SeilBeregnet=0,FA192,((Loa+Lwl)/Bredde/6)^FA$3)</f>
        <v>1.0525029962321368</v>
      </c>
      <c r="FB193" s="110">
        <f t="shared" ref="FB193:FB203" si="1604">IF(SeilBeregnet=0,FB192,(Lwl*0.07+Loa*0.03)^FB$3)</f>
        <v>1.0453681565409634</v>
      </c>
      <c r="FC193" s="110" t="str">
        <f>IF(SeilBeregnet=0,"-",FC$7*(FE:FE+FC$6)*FI:FI*PropF+ErfaringsF+Dyp_F)</f>
        <v>-</v>
      </c>
      <c r="FD193" s="144" t="str">
        <f t="shared" si="1574"/>
        <v>-</v>
      </c>
      <c r="FE193" s="110">
        <f>(FF:FF+FG:FG+FH:FH)^FE$3+FE$7</f>
        <v>6.5201014754077589</v>
      </c>
      <c r="FF193" s="136">
        <f t="shared" ref="FF193:FF203" si="1605">IF(SeilBeregnet=0,FF192,(SeilBeregnet^0.5/(Depl^0.3333))^FF$3)</f>
        <v>4.2235810165325889</v>
      </c>
      <c r="FG193" s="136">
        <f t="shared" ref="FG193:FG203" si="1606">IF(SeilBeregnet=0,FG192,(SeilBeregnet^0.5/Lwl*FG$7)^FG$3)</f>
        <v>0.93854984701917332</v>
      </c>
      <c r="FH193" s="136">
        <f t="shared" ref="FH193:FH203" si="1607">IF(SeilBeregnet=0,FH192,((Loa)/Bredde)^FH$3*FH$7)</f>
        <v>1.8579706118559971</v>
      </c>
      <c r="FI193" s="110">
        <f t="shared" ref="FI193:FI203" si="1608">IF(SeilBeregnet=0,FI192,(Lwl)^FI$3)</f>
        <v>1.8478837127354022</v>
      </c>
      <c r="FJ193" s="110" t="str">
        <f>IF(SeilBeregnet=0,"-",FJ$7*(FL:FL+FJ$6)*FO:FO*PropF+ErfaringsF+Dyp_F)</f>
        <v>-</v>
      </c>
      <c r="FK193" s="144" t="str">
        <f t="shared" si="1575"/>
        <v>-</v>
      </c>
      <c r="FL193" s="110">
        <f>(FM:FM*FN:FN)^FL$3</f>
        <v>7.8472894055104288</v>
      </c>
      <c r="FM193" s="136">
        <f t="shared" ref="FM193:FM203" si="1609">IF(SeilBeregnet=0,FM192,(SeilBeregnet^0.5/(Depl^0.3333))^FM$3)</f>
        <v>4.2235810165325889</v>
      </c>
      <c r="FN193" s="136">
        <f t="shared" ref="FN193:FN203" si="1610">IF(SeilBeregnet=0,FN192,(Loa/Bredde)^FN$3)</f>
        <v>1.8579706118559971</v>
      </c>
      <c r="FO193" s="110">
        <f t="shared" ref="FO193:FO203" si="1611">IF(SeilBeregnet=0,FO192,Lwl^FO$3)</f>
        <v>1.8478837127354022</v>
      </c>
      <c r="FQ193">
        <v>0.95</v>
      </c>
      <c r="FR193" s="64" t="str">
        <f>IF(SeilBeregnet=0,"-",0.06*2.43^(1/2)*(SeilBeregnet^(1/2)/Depl^(1/3)+(Loa/Bredde)^(1/2)+5*(Dypg/Loa)^(1/2))*Lwl^(1/4)*FQ193)</f>
        <v>-</v>
      </c>
      <c r="FS193" s="480" t="s">
        <v>495</v>
      </c>
      <c r="FT193" s="59" t="s">
        <v>63</v>
      </c>
      <c r="FU193" s="475" t="s">
        <v>691</v>
      </c>
      <c r="FV193" s="77" t="s">
        <v>64</v>
      </c>
      <c r="FW193" s="55" t="s">
        <v>692</v>
      </c>
      <c r="FX193" s="55" t="s">
        <v>693</v>
      </c>
      <c r="FY193" s="59" t="s">
        <v>455</v>
      </c>
      <c r="FZ193" s="55" t="s">
        <v>589</v>
      </c>
      <c r="GB193" s="59" t="s">
        <v>522</v>
      </c>
      <c r="GC193" s="475" t="s">
        <v>522</v>
      </c>
      <c r="GD193" s="60" t="s">
        <v>522</v>
      </c>
      <c r="GE193" s="60" t="s">
        <v>522</v>
      </c>
      <c r="GF193" s="60" t="s">
        <v>522</v>
      </c>
      <c r="GG193" s="60" t="s">
        <v>522</v>
      </c>
      <c r="GI193" s="55" t="s">
        <v>514</v>
      </c>
      <c r="GJ193" s="59" t="s">
        <v>562</v>
      </c>
      <c r="GK193" s="55" t="s">
        <v>508</v>
      </c>
      <c r="GL193" s="55" t="s">
        <v>563</v>
      </c>
      <c r="GM193" s="55">
        <v>1986</v>
      </c>
      <c r="GN193" s="55" t="s">
        <v>587</v>
      </c>
      <c r="GO193" s="55" t="s">
        <v>571</v>
      </c>
      <c r="GP193" s="59" t="s">
        <v>604</v>
      </c>
    </row>
    <row r="194" spans="1:198" ht="15.6" x14ac:dyDescent="0.3">
      <c r="A194" s="62" t="s">
        <v>31</v>
      </c>
      <c r="B194" s="223"/>
      <c r="C194" s="63" t="str">
        <f>C193</f>
        <v>Gaffel</v>
      </c>
      <c r="D194" s="63"/>
      <c r="E194" s="63"/>
      <c r="F194" s="63"/>
      <c r="G194" s="56"/>
      <c r="H194" s="209">
        <f>TBFavrundet</f>
        <v>86.5</v>
      </c>
      <c r="I194" s="65">
        <f>COUNTA(O194:AD194)</f>
        <v>4</v>
      </c>
      <c r="J194" s="228">
        <f>SUM(O194:AD194)</f>
        <v>57.4</v>
      </c>
      <c r="K194" s="119">
        <f>Seilareal/Depl^0.667/K$7</f>
        <v>1.4332926066846365</v>
      </c>
      <c r="L194" s="119">
        <f>Seilareal/Lwl/Lwl/L$7</f>
        <v>1.4689513606762798</v>
      </c>
      <c r="M194" s="95">
        <f>RiggF</f>
        <v>0.78327526132404202</v>
      </c>
      <c r="N194" s="265">
        <f>StHfaktor</f>
        <v>1.013174903464094</v>
      </c>
      <c r="O194" s="147"/>
      <c r="P194" s="147"/>
      <c r="Q194" s="169">
        <v>10.9</v>
      </c>
      <c r="R194" s="147"/>
      <c r="S194" s="147"/>
      <c r="T194" s="169">
        <v>9.1999999999999993</v>
      </c>
      <c r="U194" s="169">
        <v>29.9</v>
      </c>
      <c r="V194" s="148"/>
      <c r="W194" s="148"/>
      <c r="X194" s="148"/>
      <c r="Y194" s="169">
        <v>7.4</v>
      </c>
      <c r="Z194" s="147"/>
      <c r="AA194" s="147"/>
      <c r="AB194" s="147"/>
      <c r="AC194" s="147"/>
      <c r="AD194" s="148"/>
      <c r="AE194" s="260">
        <f t="shared" ref="AE194" si="1612">AE193</f>
        <v>8.5500000000000007</v>
      </c>
      <c r="AF194" s="375">
        <f t="shared" ref="AF194:AH197" si="1613" xml:space="preserve"> AF193</f>
        <v>0</v>
      </c>
      <c r="AG194" s="377"/>
      <c r="AH194" s="375">
        <f t="shared" si="1613"/>
        <v>0</v>
      </c>
      <c r="AI194" s="377"/>
      <c r="AJ194" s="295" t="str">
        <f t="shared" ref="AJ194" si="1614" xml:space="preserve"> AJ193</f>
        <v>Los</v>
      </c>
      <c r="AK194" s="47">
        <f>VLOOKUP(AJ194,Skrogform!$1:$1048576,3,FALSE)</f>
        <v>0.97</v>
      </c>
      <c r="AL194" s="66">
        <f t="shared" ref="AL194:AT194" si="1615">AL193</f>
        <v>8.8000000000000007</v>
      </c>
      <c r="AM194" s="66">
        <f t="shared" si="1615"/>
        <v>7.7</v>
      </c>
      <c r="AN194" s="66">
        <f t="shared" si="1615"/>
        <v>3.15</v>
      </c>
      <c r="AO194" s="66">
        <f t="shared" si="1615"/>
        <v>1.4</v>
      </c>
      <c r="AP194" s="66">
        <f t="shared" si="1615"/>
        <v>7</v>
      </c>
      <c r="AQ194" s="66">
        <f t="shared" si="1615"/>
        <v>2.5</v>
      </c>
      <c r="AR194" s="66">
        <f t="shared" si="1615"/>
        <v>0</v>
      </c>
      <c r="AS194" s="284">
        <f t="shared" si="1615"/>
        <v>40</v>
      </c>
      <c r="AT194" s="284">
        <f t="shared" si="1615"/>
        <v>270</v>
      </c>
      <c r="AU194" s="284">
        <f t="shared" ref="AU194:AV194" si="1616">AU193</f>
        <v>100</v>
      </c>
      <c r="AV194" s="284">
        <f t="shared" si="1616"/>
        <v>100</v>
      </c>
      <c r="AW194" s="284"/>
      <c r="AX194" s="284">
        <f>AX193</f>
        <v>0</v>
      </c>
      <c r="AY194" s="68"/>
      <c r="AZ194" s="68"/>
      <c r="BA194" s="289"/>
      <c r="BB194" s="68"/>
      <c r="BC194" s="179"/>
      <c r="BD194" s="68"/>
      <c r="BE194" s="68"/>
      <c r="BF194" s="67" t="str">
        <f t="shared" ref="BF194:BH194" si="1617" xml:space="preserve"> BF193</f>
        <v>Fast</v>
      </c>
      <c r="BG194" s="295">
        <f t="shared" si="1617"/>
        <v>3</v>
      </c>
      <c r="BH194" s="295">
        <f t="shared" si="1617"/>
        <v>40</v>
      </c>
      <c r="BI194" s="47">
        <f>IF((BF194="Fast"),(1.006248-(0.06415*((BH194/100*SQRT(BG194))/POWER(AP194,(1/3))))),1)</f>
        <v>0.98301432378494424</v>
      </c>
      <c r="BJ194" s="61"/>
      <c r="BK194" s="61"/>
      <c r="BM194" s="51">
        <f t="shared" ref="BM194:BR197" si="1618">IF(O194=0,0,O194*BM$9)</f>
        <v>0</v>
      </c>
      <c r="BN194" s="51">
        <f t="shared" si="1618"/>
        <v>0</v>
      </c>
      <c r="BO194" s="51">
        <f t="shared" si="1618"/>
        <v>10.9</v>
      </c>
      <c r="BP194" s="51">
        <f t="shared" si="1618"/>
        <v>0</v>
      </c>
      <c r="BQ194" s="51">
        <f t="shared" si="1618"/>
        <v>0</v>
      </c>
      <c r="BR194" s="51">
        <f t="shared" si="1618"/>
        <v>9.1999999999999993</v>
      </c>
      <c r="BS194" s="52">
        <f>IF(COUNT(P194:T194)&gt;1,MINA(P194:T194)*BS$9,0)</f>
        <v>-2.76</v>
      </c>
      <c r="BT194" s="88">
        <f t="shared" ref="BT194:CC197" si="1619">IF(U194=0,0,U194*BT$9)</f>
        <v>23.92</v>
      </c>
      <c r="BU194" s="88">
        <f t="shared" si="1619"/>
        <v>0</v>
      </c>
      <c r="BV194" s="88">
        <f t="shared" si="1619"/>
        <v>0</v>
      </c>
      <c r="BW194" s="88">
        <f t="shared" si="1619"/>
        <v>0</v>
      </c>
      <c r="BX194" s="88">
        <f t="shared" si="1619"/>
        <v>3.7</v>
      </c>
      <c r="BY194" s="88">
        <f t="shared" si="1619"/>
        <v>0</v>
      </c>
      <c r="BZ194" s="88">
        <f t="shared" si="1619"/>
        <v>0</v>
      </c>
      <c r="CA194" s="88">
        <f t="shared" si="1619"/>
        <v>0</v>
      </c>
      <c r="CB194" s="88">
        <f t="shared" si="1619"/>
        <v>0</v>
      </c>
      <c r="CC194" s="88">
        <f t="shared" si="1619"/>
        <v>0</v>
      </c>
      <c r="CD194" s="103">
        <f>SUM(BM194:CC194)</f>
        <v>44.960000000000008</v>
      </c>
      <c r="CE194" s="52"/>
      <c r="CF194" s="107">
        <f>J194</f>
        <v>57.4</v>
      </c>
      <c r="CG194" s="104">
        <f>CD194/CF194</f>
        <v>0.78327526132404202</v>
      </c>
      <c r="CH194" s="53">
        <f>Seilareal/Lwl/Lwl</f>
        <v>0.96812278630460447</v>
      </c>
      <c r="CI194" s="119">
        <f>Seilareal/Depl^0.667/K$7</f>
        <v>1.4332926066846365</v>
      </c>
      <c r="CJ194" s="53">
        <f>Seilareal/Lwl/Lwl/SApRS1</f>
        <v>1.4689513606762798</v>
      </c>
      <c r="CK194" s="209"/>
      <c r="CL194" s="209">
        <f>(ROUND(TBF/CL$6,3)*CL$6)*CL$4</f>
        <v>86.5</v>
      </c>
      <c r="CM194" s="110">
        <f t="shared" si="234"/>
        <v>0.86392502415232009</v>
      </c>
      <c r="CN194" s="64">
        <f>IF(SeilBeregnet=0,"-",(SeilBeregnet)^(1/2)*StHfaktor/(Depl+DeplTillegg/1000+Vann/1000+Diesel/1000*0.84)^(1/3))</f>
        <v>3.4887272084844687</v>
      </c>
      <c r="CO194" s="64">
        <f t="shared" si="203"/>
        <v>1.6183471874253741</v>
      </c>
      <c r="CP194" s="64">
        <f t="shared" si="204"/>
        <v>1.6657993231786119</v>
      </c>
      <c r="CQ194" s="110">
        <f t="shared" si="205"/>
        <v>1.013174903464094</v>
      </c>
      <c r="CR194" s="172">
        <f>IF(CS194=0,"-",IF(CH194="TBF","-",CR$7*CS194))</f>
        <v>0.84894117647058831</v>
      </c>
      <c r="CS194" s="163">
        <f>CS193</f>
        <v>0.82</v>
      </c>
      <c r="CT194" s="172">
        <f>IF(CU194=0,"-",IF(CL194="TBF","-",CT$7*CU194))</f>
        <v>0.84140350877192993</v>
      </c>
      <c r="CU194" s="163">
        <f>CU193</f>
        <v>1.0900000000000001</v>
      </c>
      <c r="CV194" s="195" t="s">
        <v>145</v>
      </c>
      <c r="CW194" s="64">
        <v>0.76</v>
      </c>
      <c r="CX194" s="64">
        <v>0.8</v>
      </c>
      <c r="CY194" s="64">
        <v>0.83</v>
      </c>
      <c r="CZ194" s="154">
        <v>0.87</v>
      </c>
      <c r="DA194" s="64">
        <f t="shared" si="392"/>
        <v>2.0598098158543237</v>
      </c>
      <c r="DB194" s="49">
        <f t="shared" si="393"/>
        <v>11.814345991561181</v>
      </c>
      <c r="DC194" s="50">
        <f>DB$7*IF(DB194&lt;DB$5,-0.04,IF(DB194&lt;DB$5*1.1,-0.03,IF(DB194&lt;DB$5*1.2,-0.02,IF(DB194&lt;DB$5*1.3,-0.01,0))))</f>
        <v>0</v>
      </c>
      <c r="DE194" s="110">
        <f>IF(SeilBeregnet=0,"-",DE$7*(DG:DG+DE$6)*DL:DL*PropF+ErfaringsF+Dyp_F)</f>
        <v>0.85618987945098468</v>
      </c>
      <c r="DF194" s="145">
        <f t="shared" si="1570"/>
        <v>-3.4454475345221613</v>
      </c>
      <c r="DG194" s="110">
        <f>SUM(DH194:DK194)^DG$3+DG$7</f>
        <v>5.1768572399613726</v>
      </c>
      <c r="DH194" s="136">
        <f t="shared" si="1580"/>
        <v>3.5054354518866826</v>
      </c>
      <c r="DI194" s="136">
        <f t="shared" si="1581"/>
        <v>0</v>
      </c>
      <c r="DJ194" s="136">
        <f t="shared" si="1582"/>
        <v>0</v>
      </c>
      <c r="DK194" s="136">
        <f t="shared" si="1583"/>
        <v>1.67142178807469</v>
      </c>
      <c r="DL194" s="110">
        <f t="shared" si="1584"/>
        <v>1.6657993231786119</v>
      </c>
      <c r="DM194" s="136">
        <f t="shared" si="1585"/>
        <v>1.9943100880436639</v>
      </c>
      <c r="DO194" s="110">
        <f t="shared" si="733"/>
        <v>0.89064435479620629</v>
      </c>
      <c r="DP194" s="110">
        <f t="shared" si="396"/>
        <v>0.87070403396884199</v>
      </c>
      <c r="DQ194" s="125">
        <f>DP194-DO194</f>
        <v>-1.99403208273643E-2</v>
      </c>
      <c r="DR194" s="110">
        <f t="shared" si="397"/>
        <v>0.8587020884590455</v>
      </c>
      <c r="DS194" s="125">
        <f t="shared" si="1571"/>
        <v>-3.1942266337160796E-2</v>
      </c>
      <c r="DT194" s="110">
        <f>IF(SeilBeregnet=0,"-",DT$7*(DT$4*DV194*DW194*DX194*PropF+DT$6)+ErfaringsF+Dyp_F)</f>
        <v>0.87062273435149062</v>
      </c>
      <c r="DU194" s="125">
        <f t="shared" si="1572"/>
        <v>-2.0021620444715671E-2</v>
      </c>
      <c r="DV194" s="110">
        <f t="shared" si="1586"/>
        <v>3.505230819986989</v>
      </c>
      <c r="DW194" s="110">
        <f t="shared" si="1587"/>
        <v>1.9745464681619453</v>
      </c>
      <c r="DX194" s="110">
        <f t="shared" si="1588"/>
        <v>1.51284121476291</v>
      </c>
      <c r="DZ194" s="110">
        <f>IF(SeilBeregnet=0,"-",DZ$7*(DZ$4*EB194*EC194*ED194*PropF+DZ$6)+ErfaringsF+Dyp_F)</f>
        <v>0.86745789477306601</v>
      </c>
      <c r="EB194" s="110">
        <f t="shared" si="1589"/>
        <v>3.505230819986989</v>
      </c>
      <c r="EC194" s="110">
        <f t="shared" si="1590"/>
        <v>1.9746673863959516</v>
      </c>
      <c r="ED194" s="110">
        <f t="shared" si="1591"/>
        <v>1.7366027764452827</v>
      </c>
      <c r="EE194" s="110">
        <f>IF(SeilBeregnet=0,"-",EE$7*(EE$4*EG194+EE$6)*EJ194*PropF+ErfaringsF+Dyp_F)</f>
        <v>0.86093147144394955</v>
      </c>
      <c r="EG194" s="110">
        <f t="shared" si="1592"/>
        <v>5.3028576517335075</v>
      </c>
      <c r="EH194" s="110">
        <f t="shared" si="1593"/>
        <v>3.505230819986989</v>
      </c>
      <c r="EI194" s="110">
        <f t="shared" si="1594"/>
        <v>1.51284121476291</v>
      </c>
      <c r="EJ194" s="110">
        <f t="shared" si="1595"/>
        <v>1.6657993231786119</v>
      </c>
      <c r="EK194" s="110">
        <f>IF(SeilBeregnet=0,"-",EK$7*(EK$4*EM:EM+EK$6)*EP:EP*PropF+ErfaringsF+Dyp_F)</f>
        <v>0.86139221526839382</v>
      </c>
      <c r="EM194" s="110">
        <f>IF(SeilBeregnet=0,EM193,(EN:EN*EO:EO)^EM$3)</f>
        <v>1.8407129948405065</v>
      </c>
      <c r="EN194" s="110">
        <f t="shared" si="1596"/>
        <v>3.505230819986989</v>
      </c>
      <c r="EO194" s="110">
        <f t="shared" si="1597"/>
        <v>0.96661946199231552</v>
      </c>
      <c r="EP194" s="110">
        <f t="shared" si="1598"/>
        <v>1.6833672989163568</v>
      </c>
      <c r="EQ194" s="110">
        <f>IF(SeilBeregnet=0,"-",EQ$7*(ES:ES+EQ$6)*EV:EV*PropF+ErfaringsF+Dyp_F)</f>
        <v>0.83351889621149344</v>
      </c>
      <c r="ES194" s="110">
        <f>(ET:ET*EU:EU)^ES$3</f>
        <v>1.8407667235561096</v>
      </c>
      <c r="ET194" s="110">
        <f t="shared" si="1599"/>
        <v>3.5054354518866826</v>
      </c>
      <c r="EU194" s="110">
        <f t="shared" si="1600"/>
        <v>0.96661946199231552</v>
      </c>
      <c r="EV194" s="110">
        <f t="shared" si="1601"/>
        <v>1.6833672989163568</v>
      </c>
      <c r="EW194" s="110">
        <f>IF(SeilBeregnet=0,"-",EW$7*(EY:EY+EW$6)*FB:FB*PropF+ErfaringsF+Dyp_F)</f>
        <v>0.83942755612384934</v>
      </c>
      <c r="EX194" s="144">
        <f t="shared" si="1573"/>
        <v>-5.1216798672356951</v>
      </c>
      <c r="EY194" s="110">
        <f>(EZ:EZ*FA:FA)^EY$3</f>
        <v>3.2753147768365412</v>
      </c>
      <c r="EZ194" s="136">
        <f t="shared" si="1602"/>
        <v>3.5054354518866826</v>
      </c>
      <c r="FA194" s="136">
        <f t="shared" si="1603"/>
        <v>0.93435318430231351</v>
      </c>
      <c r="FB194" s="110">
        <f t="shared" si="1604"/>
        <v>0.94662699765472258</v>
      </c>
      <c r="FC194" s="110">
        <f>IF(SeilBeregnet=0,"-",FC$7*(FE:FE+FC$6)*FI:FI*PropF+ErfaringsF+Dyp_F)</f>
        <v>0.87209542804966489</v>
      </c>
      <c r="FD194" s="144">
        <f t="shared" si="1574"/>
        <v>-1.8548926746541405</v>
      </c>
      <c r="FE194" s="110">
        <f>(FF:FF+FG:FG+FH:FH)^FE$3+FE$7</f>
        <v>5.5476652718699544</v>
      </c>
      <c r="FF194" s="136">
        <f t="shared" si="1605"/>
        <v>3.5054354518866826</v>
      </c>
      <c r="FG194" s="136">
        <f t="shared" si="1606"/>
        <v>0.87080803190858236</v>
      </c>
      <c r="FH194" s="136">
        <f t="shared" si="1607"/>
        <v>1.67142178807469</v>
      </c>
      <c r="FI194" s="110">
        <f t="shared" si="1608"/>
        <v>1.6657993231786119</v>
      </c>
      <c r="FJ194" s="110">
        <f>IF(SeilBeregnet=0,"-",FJ$7*(FL:FL+FJ$6)*FO:FO*PropF+ErfaringsF+Dyp_F)</f>
        <v>0.8395014162563279</v>
      </c>
      <c r="FK194" s="144">
        <f t="shared" si="1575"/>
        <v>-5.1142938539878386</v>
      </c>
      <c r="FL194" s="110">
        <f>(FM:FM*FN:FN)^FL$3</f>
        <v>5.8590611909728478</v>
      </c>
      <c r="FM194" s="136">
        <f t="shared" si="1609"/>
        <v>3.5054354518866826</v>
      </c>
      <c r="FN194" s="136">
        <f t="shared" si="1610"/>
        <v>1.67142178807469</v>
      </c>
      <c r="FO194" s="110">
        <f t="shared" si="1611"/>
        <v>1.6657993231786119</v>
      </c>
      <c r="FQ194">
        <v>0.95</v>
      </c>
      <c r="FR194" s="64">
        <f>IF(SeilBeregnet=0,"-",0.06*2.43^(1/2)*(SeilBeregnet^(1/2)/Depl^(1/3)+(Loa/Bredde)^(1/2)+5*(Dypg/Loa)^(1/2))*Lwl^(1/4)*FQ194)</f>
        <v>1.0613943221413182</v>
      </c>
      <c r="FS194" s="479"/>
      <c r="FT194" s="18"/>
      <c r="FU194" s="481"/>
      <c r="FV194" s="504"/>
      <c r="FW194" s="18"/>
      <c r="FX194" s="18"/>
      <c r="FY194" s="18"/>
      <c r="FZ194" s="18"/>
      <c r="GB194" s="18"/>
      <c r="GC194" s="481"/>
      <c r="GD194" s="8"/>
      <c r="GE194" s="8"/>
      <c r="GF194" s="8"/>
      <c r="GG194" s="8"/>
      <c r="GI194" s="18"/>
      <c r="GJ194" s="18"/>
      <c r="GK194" s="18"/>
      <c r="GL194" s="18"/>
      <c r="GM194" s="18"/>
      <c r="GN194" s="18"/>
      <c r="GO194" s="18"/>
      <c r="GP194" s="18"/>
    </row>
    <row r="195" spans="1:198" ht="15.6" x14ac:dyDescent="0.3">
      <c r="A195" s="62" t="s">
        <v>32</v>
      </c>
      <c r="B195" s="223"/>
      <c r="C195" s="14" t="str">
        <f>C193</f>
        <v>Gaffel</v>
      </c>
      <c r="G195" s="56"/>
      <c r="H195" s="209">
        <f>TBFavrundet</f>
        <v>84.000000000000014</v>
      </c>
      <c r="I195" s="65">
        <f>COUNTA(O195:AD195)</f>
        <v>3</v>
      </c>
      <c r="J195" s="228">
        <f>SUM(O195:AD195)</f>
        <v>50</v>
      </c>
      <c r="K195" s="119">
        <f>Seilareal/Depl^0.667/K$7</f>
        <v>1.248512723592889</v>
      </c>
      <c r="L195" s="119">
        <f>Seilareal/Lwl/Lwl/L$7</f>
        <v>1.2795743559897907</v>
      </c>
      <c r="M195" s="95">
        <f>RiggF</f>
        <v>0.82520000000000016</v>
      </c>
      <c r="N195" s="265">
        <f>StHfaktor</f>
        <v>1.013174903464094</v>
      </c>
      <c r="O195" s="147"/>
      <c r="P195" s="147"/>
      <c r="Q195" s="169">
        <v>10.9</v>
      </c>
      <c r="R195" s="147"/>
      <c r="S195" s="147"/>
      <c r="T195" s="169">
        <v>9.1999999999999993</v>
      </c>
      <c r="U195" s="169">
        <v>29.9</v>
      </c>
      <c r="V195" s="148"/>
      <c r="W195" s="148"/>
      <c r="X195" s="148"/>
      <c r="Y195" s="147"/>
      <c r="Z195" s="147"/>
      <c r="AA195" s="147"/>
      <c r="AB195" s="147"/>
      <c r="AC195" s="147"/>
      <c r="AD195" s="148"/>
      <c r="AE195" s="260">
        <f t="shared" ref="AE195" si="1620">AE194</f>
        <v>8.5500000000000007</v>
      </c>
      <c r="AF195" s="375">
        <f t="shared" si="1613"/>
        <v>0</v>
      </c>
      <c r="AG195" s="377"/>
      <c r="AH195" s="375">
        <f t="shared" si="1613"/>
        <v>0</v>
      </c>
      <c r="AI195" s="377"/>
      <c r="AJ195" s="295" t="str">
        <f t="shared" ref="AJ195" si="1621" xml:space="preserve"> AJ194</f>
        <v>Los</v>
      </c>
      <c r="AK195" s="47">
        <f>VLOOKUP(AJ195,Skrogform!$1:$1048576,3,FALSE)</f>
        <v>0.97</v>
      </c>
      <c r="AL195" s="66">
        <f t="shared" ref="AL195:AT195" si="1622">AL194</f>
        <v>8.8000000000000007</v>
      </c>
      <c r="AM195" s="66">
        <f t="shared" si="1622"/>
        <v>7.7</v>
      </c>
      <c r="AN195" s="66">
        <f t="shared" si="1622"/>
        <v>3.15</v>
      </c>
      <c r="AO195" s="66">
        <f t="shared" si="1622"/>
        <v>1.4</v>
      </c>
      <c r="AP195" s="66">
        <f t="shared" si="1622"/>
        <v>7</v>
      </c>
      <c r="AQ195" s="66">
        <f t="shared" si="1622"/>
        <v>2.5</v>
      </c>
      <c r="AR195" s="66">
        <f t="shared" si="1622"/>
        <v>0</v>
      </c>
      <c r="AS195" s="284">
        <f t="shared" si="1622"/>
        <v>40</v>
      </c>
      <c r="AT195" s="284">
        <f t="shared" si="1622"/>
        <v>270</v>
      </c>
      <c r="AU195" s="284">
        <f t="shared" ref="AU195:AV195" si="1623">AU194</f>
        <v>100</v>
      </c>
      <c r="AV195" s="284">
        <f t="shared" si="1623"/>
        <v>100</v>
      </c>
      <c r="AW195" s="284"/>
      <c r="AX195" s="284">
        <f>AX194</f>
        <v>0</v>
      </c>
      <c r="AY195" s="68"/>
      <c r="AZ195" s="68"/>
      <c r="BA195" s="289"/>
      <c r="BB195" s="68"/>
      <c r="BC195" s="179"/>
      <c r="BD195" s="68"/>
      <c r="BE195" s="68"/>
      <c r="BF195" s="67" t="str">
        <f t="shared" ref="BF195:BH195" si="1624" xml:space="preserve"> BF194</f>
        <v>Fast</v>
      </c>
      <c r="BG195" s="295">
        <f t="shared" si="1624"/>
        <v>3</v>
      </c>
      <c r="BH195" s="295">
        <f t="shared" si="1624"/>
        <v>40</v>
      </c>
      <c r="BI195" s="47">
        <f>IF((BF195="Fast"),(1.006248-(0.06415*((BH195/100*SQRT(BG195))/POWER(AP195,(1/3))))),1)</f>
        <v>0.98301432378494424</v>
      </c>
      <c r="BJ195" s="61"/>
      <c r="BK195" s="61"/>
      <c r="BM195" s="51">
        <f t="shared" si="1618"/>
        <v>0</v>
      </c>
      <c r="BN195" s="51">
        <f t="shared" si="1618"/>
        <v>0</v>
      </c>
      <c r="BO195" s="51">
        <f t="shared" si="1618"/>
        <v>10.9</v>
      </c>
      <c r="BP195" s="51">
        <f t="shared" si="1618"/>
        <v>0</v>
      </c>
      <c r="BQ195" s="51">
        <f t="shared" si="1618"/>
        <v>0</v>
      </c>
      <c r="BR195" s="51">
        <f t="shared" si="1618"/>
        <v>9.1999999999999993</v>
      </c>
      <c r="BS195" s="52">
        <f>IF(COUNT(P195:T195)&gt;1,MINA(P195:T195)*BS$9,0)</f>
        <v>-2.76</v>
      </c>
      <c r="BT195" s="88">
        <f t="shared" si="1619"/>
        <v>23.92</v>
      </c>
      <c r="BU195" s="88">
        <f t="shared" si="1619"/>
        <v>0</v>
      </c>
      <c r="BV195" s="88">
        <f t="shared" si="1619"/>
        <v>0</v>
      </c>
      <c r="BW195" s="88">
        <f t="shared" si="1619"/>
        <v>0</v>
      </c>
      <c r="BX195" s="88">
        <f t="shared" si="1619"/>
        <v>0</v>
      </c>
      <c r="BY195" s="88">
        <f t="shared" si="1619"/>
        <v>0</v>
      </c>
      <c r="BZ195" s="88">
        <f t="shared" si="1619"/>
        <v>0</v>
      </c>
      <c r="CA195" s="88">
        <f t="shared" si="1619"/>
        <v>0</v>
      </c>
      <c r="CB195" s="88">
        <f t="shared" si="1619"/>
        <v>0</v>
      </c>
      <c r="CC195" s="88">
        <f t="shared" si="1619"/>
        <v>0</v>
      </c>
      <c r="CD195" s="103">
        <f>SUM(BM195:CC195)</f>
        <v>41.260000000000005</v>
      </c>
      <c r="CE195" s="52"/>
      <c r="CF195" s="107">
        <f>J195</f>
        <v>50</v>
      </c>
      <c r="CG195" s="104">
        <f>CD195/CF195</f>
        <v>0.82520000000000016</v>
      </c>
      <c r="CH195" s="53">
        <f>Seilareal/Lwl/Lwl</f>
        <v>0.84331253162421993</v>
      </c>
      <c r="CI195" s="119">
        <f>Seilareal/Depl^0.667/K$7</f>
        <v>1.248512723592889</v>
      </c>
      <c r="CJ195" s="53">
        <f>Seilareal/Lwl/Lwl/SApRS1</f>
        <v>1.2795743559897907</v>
      </c>
      <c r="CK195" s="209"/>
      <c r="CL195" s="209">
        <f>(ROUND(TBF/CL$6,3)*CL$6)*CL$4</f>
        <v>84.000000000000014</v>
      </c>
      <c r="CM195" s="110">
        <f t="shared" si="234"/>
        <v>0.83911995230355851</v>
      </c>
      <c r="CN195" s="64">
        <f>IF(SeilBeregnet=0,"-",(SeilBeregnet)^(1/2)*StHfaktor/(Depl+DeplTillegg/1000+Vann/1000+Diesel/1000*0.84)^(1/3))</f>
        <v>3.3420925541036515</v>
      </c>
      <c r="CO195" s="64">
        <f t="shared" si="203"/>
        <v>1.6183471874253741</v>
      </c>
      <c r="CP195" s="64">
        <f t="shared" si="204"/>
        <v>1.6657993231786119</v>
      </c>
      <c r="CQ195" s="110">
        <f t="shared" si="205"/>
        <v>1.013174903464094</v>
      </c>
      <c r="CR195" s="172" t="str">
        <f>IF(CS195=0,"-",IF(CH195="TBF","-",CR$7*CS195))</f>
        <v>-</v>
      </c>
      <c r="CS195" s="162"/>
      <c r="CT195" s="172" t="str">
        <f>IF(CU195=0,"-",IF(CL195="TBF","-",CT$7*CU195))</f>
        <v>-</v>
      </c>
      <c r="CU195" s="164"/>
      <c r="CV195" s="195" t="s">
        <v>145</v>
      </c>
      <c r="CW195" s="64">
        <v>0.74</v>
      </c>
      <c r="CX195" s="64">
        <v>0.79</v>
      </c>
      <c r="CY195" s="64">
        <v>0.81</v>
      </c>
      <c r="CZ195" s="154">
        <v>0.84</v>
      </c>
      <c r="DA195" s="64">
        <f t="shared" si="392"/>
        <v>2.0598098158543237</v>
      </c>
      <c r="DB195" s="49">
        <f t="shared" si="393"/>
        <v>11.814345991561181</v>
      </c>
      <c r="DC195" s="50">
        <f>DB$7*IF(DB195&lt;DB$5,-0.04,IF(DB195&lt;DB$5*1.1,-0.03,IF(DB195&lt;DB$5*1.2,-0.02,IF(DB195&lt;DB$5*1.3,-0.01,0))))</f>
        <v>0</v>
      </c>
      <c r="DE195" s="110">
        <f>IF(SeilBeregnet=0,"-",DE$7*(DG:DG+DE$6)*DL:DL*PropF+ErfaringsF+Dyp_F)</f>
        <v>0.83182212648175613</v>
      </c>
      <c r="DF195" s="144" t="str">
        <f t="shared" si="1570"/>
        <v>-</v>
      </c>
      <c r="DG195" s="110">
        <f>SUM(DH195:DK195)^DG$3+DG$7</f>
        <v>5.0295203215885085</v>
      </c>
      <c r="DH195" s="136">
        <f t="shared" si="1580"/>
        <v>3.3580985335138185</v>
      </c>
      <c r="DI195" s="136">
        <f t="shared" si="1581"/>
        <v>0</v>
      </c>
      <c r="DJ195" s="136">
        <f t="shared" si="1582"/>
        <v>0</v>
      </c>
      <c r="DK195" s="136">
        <f t="shared" si="1583"/>
        <v>1.67142178807469</v>
      </c>
      <c r="DL195" s="110">
        <f t="shared" si="1584"/>
        <v>1.6657993231786119</v>
      </c>
      <c r="DM195" s="136">
        <f t="shared" si="1585"/>
        <v>1.9943100880436639</v>
      </c>
      <c r="DO195" s="110">
        <f t="shared" si="733"/>
        <v>0.86507211577686438</v>
      </c>
      <c r="DP195" s="110">
        <f t="shared" si="396"/>
        <v>0.84240068720226879</v>
      </c>
      <c r="DR195" s="110">
        <f t="shared" si="397"/>
        <v>0.83672934086814466</v>
      </c>
      <c r="DS195" s="125" t="str">
        <f t="shared" si="1571"/>
        <v>-</v>
      </c>
      <c r="DT195" s="110">
        <f>IF(SeilBeregnet=0,"-",DT$7*(DT$4*DV195*DW195*DX195*PropF+DT$6)+ErfaringsF+Dyp_F)</f>
        <v>0.84351181127464747</v>
      </c>
      <c r="DU195" s="125" t="str">
        <f t="shared" si="1572"/>
        <v>-</v>
      </c>
      <c r="DV195" s="110">
        <f t="shared" si="1586"/>
        <v>3.357902502495218</v>
      </c>
      <c r="DW195" s="110">
        <f t="shared" si="1587"/>
        <v>1.9745464681619453</v>
      </c>
      <c r="DX195" s="110">
        <f t="shared" si="1588"/>
        <v>1.51284121476291</v>
      </c>
      <c r="DZ195" s="110">
        <f>IF(SeilBeregnet=0,"-",DZ$7*(DZ$4*EB195*EC195*ED195*PropF+DZ$6)+ErfaringsF+Dyp_F)</f>
        <v>0.84327666217468744</v>
      </c>
      <c r="EB195" s="110">
        <f t="shared" si="1589"/>
        <v>3.357902502495218</v>
      </c>
      <c r="EC195" s="110">
        <f t="shared" si="1590"/>
        <v>1.9746673863959516</v>
      </c>
      <c r="ED195" s="110">
        <f t="shared" si="1591"/>
        <v>1.7366027764452827</v>
      </c>
      <c r="EE195" s="110">
        <f>IF(SeilBeregnet=0,"-",EE$7*(EE$4*EG195+EE$6)*EJ195*PropF+ErfaringsF+Dyp_F)</f>
        <v>0.83465570909860221</v>
      </c>
      <c r="EG195" s="110">
        <f t="shared" si="1592"/>
        <v>5.0799733009302814</v>
      </c>
      <c r="EH195" s="110">
        <f t="shared" si="1593"/>
        <v>3.357902502495218</v>
      </c>
      <c r="EI195" s="110">
        <f t="shared" si="1594"/>
        <v>1.51284121476291</v>
      </c>
      <c r="EJ195" s="110">
        <f t="shared" si="1595"/>
        <v>1.6657993231786119</v>
      </c>
      <c r="EK195" s="110">
        <f>IF(SeilBeregnet=0,"-",EK$7*(EK$4*EM:EM+EK$6)*EP:EP*PropF+ErfaringsF+Dyp_F)</f>
        <v>0.83627173574240721</v>
      </c>
      <c r="EM195" s="110">
        <f>IF(SeilBeregnet=0,EM194,(EN:EN*EO:EO)^EM$3)</f>
        <v>1.8016142512715028</v>
      </c>
      <c r="EN195" s="110">
        <f t="shared" si="1596"/>
        <v>3.357902502495218</v>
      </c>
      <c r="EO195" s="110">
        <f t="shared" si="1597"/>
        <v>0.96661946199231552</v>
      </c>
      <c r="EP195" s="110">
        <f t="shared" si="1598"/>
        <v>1.6833672989163568</v>
      </c>
      <c r="EQ195" s="110">
        <f>IF(SeilBeregnet=0,"-",EQ$7*(ES:ES+EQ$6)*EV:EV*PropF+ErfaringsF+Dyp_F)</f>
        <v>0.81581404940797742</v>
      </c>
      <c r="ES195" s="110">
        <f>(ET:ET*EU:EU)^ES$3</f>
        <v>1.8016668387308212</v>
      </c>
      <c r="ET195" s="110">
        <f t="shared" si="1599"/>
        <v>3.3580985335138185</v>
      </c>
      <c r="EU195" s="110">
        <f t="shared" si="1600"/>
        <v>0.96661946199231552</v>
      </c>
      <c r="EV195" s="110">
        <f t="shared" si="1601"/>
        <v>1.6833672989163568</v>
      </c>
      <c r="EW195" s="110">
        <f>IF(SeilBeregnet=0,"-",EW$7*(EY:EY+EW$6)*FB:FB*PropF+ErfaringsF+Dyp_F)</f>
        <v>0.81752183800185108</v>
      </c>
      <c r="EX195" s="144" t="str">
        <f t="shared" si="1573"/>
        <v>-</v>
      </c>
      <c r="EY195" s="110">
        <f>(EZ:EZ*FA:FA)^EY$3</f>
        <v>3.1376500579895654</v>
      </c>
      <c r="EZ195" s="136">
        <f t="shared" si="1602"/>
        <v>3.3580985335138185</v>
      </c>
      <c r="FA195" s="136">
        <f t="shared" si="1603"/>
        <v>0.93435318430231351</v>
      </c>
      <c r="FB195" s="110">
        <f t="shared" si="1604"/>
        <v>0.94662699765472258</v>
      </c>
      <c r="FC195" s="110">
        <f>IF(SeilBeregnet=0,"-",FC$7*(FE:FE+FC$6)*FI:FI*PropF+ErfaringsF+Dyp_F)</f>
        <v>0.84318031829415874</v>
      </c>
      <c r="FD195" s="144" t="str">
        <f t="shared" si="1574"/>
        <v>-</v>
      </c>
      <c r="FE195" s="110">
        <f>(FF:FF+FG:FG+FH:FH)^FE$3+FE$7</f>
        <v>5.3637274308223652</v>
      </c>
      <c r="FF195" s="136">
        <f t="shared" si="1605"/>
        <v>3.3580985335138185</v>
      </c>
      <c r="FG195" s="136">
        <f t="shared" si="1606"/>
        <v>0.83420710923385588</v>
      </c>
      <c r="FH195" s="136">
        <f t="shared" si="1607"/>
        <v>1.67142178807469</v>
      </c>
      <c r="FI195" s="110">
        <f t="shared" si="1608"/>
        <v>1.6657993231786119</v>
      </c>
      <c r="FJ195" s="110">
        <f>IF(SeilBeregnet=0,"-",FJ$7*(FL:FL+FJ$6)*FO:FO*PropF+ErfaringsF+Dyp_F)</f>
        <v>0.81853213656882373</v>
      </c>
      <c r="FK195" s="144" t="str">
        <f t="shared" si="1575"/>
        <v>-</v>
      </c>
      <c r="FL195" s="110">
        <f>(FM:FM*FN:FN)^FL$3</f>
        <v>5.6127990554166605</v>
      </c>
      <c r="FM195" s="136">
        <f t="shared" si="1609"/>
        <v>3.3580985335138185</v>
      </c>
      <c r="FN195" s="136">
        <f t="shared" si="1610"/>
        <v>1.67142178807469</v>
      </c>
      <c r="FO195" s="110">
        <f t="shared" si="1611"/>
        <v>1.6657993231786119</v>
      </c>
      <c r="FQ195">
        <v>0.95</v>
      </c>
      <c r="FR195" s="64">
        <f>IF(SeilBeregnet=0,"-",0.06*2.43^(1/2)*(SeilBeregnet^(1/2)/Depl^(1/3)+(Loa/Bredde)^(1/2)+5*(Dypg/Loa)^(1/2))*Lwl^(1/4)*FQ195)</f>
        <v>1.039587916529618</v>
      </c>
      <c r="FS195" s="479"/>
      <c r="FT195" s="18"/>
      <c r="FU195" s="481"/>
      <c r="FV195" s="504"/>
      <c r="FW195" s="18"/>
      <c r="FX195" s="18"/>
      <c r="FY195" s="18"/>
      <c r="FZ195" s="18"/>
      <c r="GB195" s="18"/>
      <c r="GC195" s="481"/>
      <c r="GD195" s="8"/>
      <c r="GE195" s="8"/>
      <c r="GF195" s="8"/>
      <c r="GG195" s="8"/>
      <c r="GI195" s="18"/>
      <c r="GJ195" s="18"/>
      <c r="GK195" s="18"/>
      <c r="GL195" s="18"/>
      <c r="GM195" s="18"/>
      <c r="GN195" s="18"/>
      <c r="GO195" s="18"/>
      <c r="GP195" s="18"/>
    </row>
    <row r="196" spans="1:198" ht="15.6" x14ac:dyDescent="0.3">
      <c r="A196" s="62" t="s">
        <v>122</v>
      </c>
      <c r="B196" s="223"/>
      <c r="C196" s="14" t="str">
        <f>C194</f>
        <v>Gaffel</v>
      </c>
      <c r="G196" s="56"/>
      <c r="H196" s="209">
        <f>TBFavrundet</f>
        <v>80.5</v>
      </c>
      <c r="I196" s="65">
        <f>COUNTA(O196:AD196)</f>
        <v>3</v>
      </c>
      <c r="J196" s="228">
        <f>SUM(O196:AD196)</f>
        <v>45.1</v>
      </c>
      <c r="K196" s="119">
        <f>Seilareal/Depl^0.667/K$7</f>
        <v>1.1261584766807859</v>
      </c>
      <c r="L196" s="119">
        <f>Seilareal/Lwl/Lwl/L$7</f>
        <v>1.1541760691027914</v>
      </c>
      <c r="M196" s="95">
        <f>RiggF</f>
        <v>0.80022172949002224</v>
      </c>
      <c r="N196" s="265">
        <f>StHfaktor</f>
        <v>1.013174903464094</v>
      </c>
      <c r="O196" s="147"/>
      <c r="P196" s="147"/>
      <c r="Q196" s="169">
        <v>10.9</v>
      </c>
      <c r="R196" s="147"/>
      <c r="S196" s="147"/>
      <c r="T196" s="169">
        <v>9.1999999999999993</v>
      </c>
      <c r="U196" s="148"/>
      <c r="V196" s="184">
        <v>25</v>
      </c>
      <c r="W196" s="148"/>
      <c r="X196" s="148"/>
      <c r="Y196" s="147"/>
      <c r="Z196" s="147"/>
      <c r="AA196" s="147"/>
      <c r="AB196" s="147"/>
      <c r="AC196" s="147"/>
      <c r="AD196" s="148"/>
      <c r="AE196" s="260">
        <f t="shared" ref="AE196" si="1625">AE195</f>
        <v>8.5500000000000007</v>
      </c>
      <c r="AF196" s="375">
        <f t="shared" si="1613"/>
        <v>0</v>
      </c>
      <c r="AG196" s="377"/>
      <c r="AH196" s="375">
        <f t="shared" si="1613"/>
        <v>0</v>
      </c>
      <c r="AI196" s="377"/>
      <c r="AJ196" s="295" t="str">
        <f t="shared" ref="AJ196" si="1626" xml:space="preserve"> AJ195</f>
        <v>Los</v>
      </c>
      <c r="AK196" s="47">
        <f>VLOOKUP(AJ196,Skrogform!$1:$1048576,3,FALSE)</f>
        <v>0.97</v>
      </c>
      <c r="AL196" s="66">
        <f t="shared" ref="AL196:AT196" si="1627">AL195</f>
        <v>8.8000000000000007</v>
      </c>
      <c r="AM196" s="66">
        <f t="shared" si="1627"/>
        <v>7.7</v>
      </c>
      <c r="AN196" s="66">
        <f t="shared" si="1627"/>
        <v>3.15</v>
      </c>
      <c r="AO196" s="66">
        <f t="shared" si="1627"/>
        <v>1.4</v>
      </c>
      <c r="AP196" s="66">
        <f t="shared" si="1627"/>
        <v>7</v>
      </c>
      <c r="AQ196" s="66">
        <f t="shared" si="1627"/>
        <v>2.5</v>
      </c>
      <c r="AR196" s="66">
        <f t="shared" si="1627"/>
        <v>0</v>
      </c>
      <c r="AS196" s="284">
        <f t="shared" si="1627"/>
        <v>40</v>
      </c>
      <c r="AT196" s="284">
        <f t="shared" si="1627"/>
        <v>270</v>
      </c>
      <c r="AU196" s="284">
        <f t="shared" ref="AU196:AV196" si="1628">AU195</f>
        <v>100</v>
      </c>
      <c r="AV196" s="284">
        <f t="shared" si="1628"/>
        <v>100</v>
      </c>
      <c r="AW196" s="284"/>
      <c r="AX196" s="284">
        <f>AX195</f>
        <v>0</v>
      </c>
      <c r="AY196" s="68"/>
      <c r="AZ196" s="68"/>
      <c r="BA196" s="289"/>
      <c r="BB196" s="68"/>
      <c r="BC196" s="179"/>
      <c r="BD196" s="68"/>
      <c r="BE196" s="68"/>
      <c r="BF196" s="67" t="str">
        <f t="shared" ref="BF196:BH196" si="1629" xml:space="preserve"> BF195</f>
        <v>Fast</v>
      </c>
      <c r="BG196" s="295">
        <f t="shared" si="1629"/>
        <v>3</v>
      </c>
      <c r="BH196" s="295">
        <f t="shared" si="1629"/>
        <v>40</v>
      </c>
      <c r="BI196" s="47">
        <f>IF((BF196="Fast"),(1.006248-(0.06415*((BH196/100*SQRT(BG196))/POWER(AP196,(1/3))))),1)</f>
        <v>0.98301432378494424</v>
      </c>
      <c r="BJ196" s="61"/>
      <c r="BK196" s="61"/>
      <c r="BM196" s="51">
        <f t="shared" si="1618"/>
        <v>0</v>
      </c>
      <c r="BN196" s="51">
        <f t="shared" si="1618"/>
        <v>0</v>
      </c>
      <c r="BO196" s="51">
        <f t="shared" si="1618"/>
        <v>10.9</v>
      </c>
      <c r="BP196" s="51">
        <f t="shared" si="1618"/>
        <v>0</v>
      </c>
      <c r="BQ196" s="51">
        <f t="shared" si="1618"/>
        <v>0</v>
      </c>
      <c r="BR196" s="51">
        <f t="shared" si="1618"/>
        <v>9.1999999999999993</v>
      </c>
      <c r="BS196" s="52">
        <f>IF(COUNT(P196:T196)&gt;1,MINA(P196:T196)*BS$9,0)</f>
        <v>-2.76</v>
      </c>
      <c r="BT196" s="88">
        <f t="shared" si="1619"/>
        <v>0</v>
      </c>
      <c r="BU196" s="88">
        <f t="shared" si="1619"/>
        <v>18.75</v>
      </c>
      <c r="BV196" s="88">
        <f t="shared" si="1619"/>
        <v>0</v>
      </c>
      <c r="BW196" s="88">
        <f t="shared" si="1619"/>
        <v>0</v>
      </c>
      <c r="BX196" s="88">
        <f t="shared" si="1619"/>
        <v>0</v>
      </c>
      <c r="BY196" s="88">
        <f t="shared" si="1619"/>
        <v>0</v>
      </c>
      <c r="BZ196" s="88">
        <f t="shared" si="1619"/>
        <v>0</v>
      </c>
      <c r="CA196" s="88">
        <f t="shared" si="1619"/>
        <v>0</v>
      </c>
      <c r="CB196" s="88">
        <f t="shared" si="1619"/>
        <v>0</v>
      </c>
      <c r="CC196" s="88">
        <f t="shared" si="1619"/>
        <v>0</v>
      </c>
      <c r="CD196" s="103">
        <f>SUM(BM196:CC196)</f>
        <v>36.090000000000003</v>
      </c>
      <c r="CE196" s="52"/>
      <c r="CF196" s="107">
        <f>J196</f>
        <v>45.1</v>
      </c>
      <c r="CG196" s="104">
        <f>CD196/CF196</f>
        <v>0.80022172949002224</v>
      </c>
      <c r="CH196" s="53">
        <f>Seilareal/Lwl/Lwl</f>
        <v>0.76066790352504632</v>
      </c>
      <c r="CI196" s="119">
        <f>Seilareal/Depl^0.667/K$7</f>
        <v>1.1261584766807859</v>
      </c>
      <c r="CJ196" s="53">
        <f>Seilareal/Lwl/Lwl/SApRS1</f>
        <v>1.1541760691027914</v>
      </c>
      <c r="CK196" s="209"/>
      <c r="CL196" s="209">
        <f>(ROUND(TBF/CL$6,3)*CL$6)*CL$4</f>
        <v>80.5</v>
      </c>
      <c r="CM196" s="110">
        <f t="shared" si="234"/>
        <v>0.80251447719145275</v>
      </c>
      <c r="CN196" s="64">
        <f>IF(SeilBeregnet=0,"-",(SeilBeregnet)^(1/2)*StHfaktor/(Depl+DeplTillegg/1000+Vann/1000+Diesel/1000*0.84)^(1/3))</f>
        <v>3.1257000669447326</v>
      </c>
      <c r="CO196" s="64">
        <f t="shared" si="203"/>
        <v>1.6183471874253741</v>
      </c>
      <c r="CP196" s="64">
        <f t="shared" si="204"/>
        <v>1.6657993231786119</v>
      </c>
      <c r="CQ196" s="110">
        <f t="shared" si="205"/>
        <v>1.013174903464094</v>
      </c>
      <c r="CR196" s="172" t="str">
        <f>IF(CS196=0,"-",IF(CH196="TBF","-",CR$7*CS196))</f>
        <v>-</v>
      </c>
      <c r="CS196" s="162"/>
      <c r="CT196" s="172" t="str">
        <f>IF(CU196=0,"-",IF(CL196="TBF","-",CT$7*CU196))</f>
        <v>-</v>
      </c>
      <c r="CU196" s="164"/>
      <c r="CV196" s="195" t="s">
        <v>145</v>
      </c>
      <c r="CW196" s="64">
        <v>0.7</v>
      </c>
      <c r="CX196" s="64">
        <v>0.77</v>
      </c>
      <c r="CY196" s="64">
        <v>0.78</v>
      </c>
      <c r="CZ196" s="154">
        <v>0.74</v>
      </c>
      <c r="DA196" s="64">
        <f t="shared" si="392"/>
        <v>2.0598098158543237</v>
      </c>
      <c r="DB196" s="49">
        <f t="shared" si="393"/>
        <v>11.814345991561181</v>
      </c>
      <c r="DC196" s="50">
        <f>DB$7*IF(DB196&lt;DB$5,-0.04,IF(DB196&lt;DB$5*1.1,-0.03,IF(DB196&lt;DB$5*1.2,-0.02,IF(DB196&lt;DB$5*1.3,-0.01,0))))</f>
        <v>0</v>
      </c>
      <c r="DE196" s="110">
        <f>IF(SeilBeregnet=0,"-",DE$7*(DG:DG+DE$6)*DL:DL*PropF+ErfaringsF+Dyp_F)</f>
        <v>0.79586201395752731</v>
      </c>
      <c r="DF196" s="144" t="str">
        <f t="shared" si="1570"/>
        <v>-</v>
      </c>
      <c r="DG196" s="110">
        <f>SUM(DH196:DK196)^DG$3+DG$7</f>
        <v>4.812091485603843</v>
      </c>
      <c r="DH196" s="136">
        <f t="shared" si="1580"/>
        <v>3.140669697529153</v>
      </c>
      <c r="DI196" s="136">
        <f t="shared" si="1581"/>
        <v>0</v>
      </c>
      <c r="DJ196" s="136">
        <f t="shared" si="1582"/>
        <v>0</v>
      </c>
      <c r="DK196" s="136">
        <f t="shared" si="1583"/>
        <v>1.67142178807469</v>
      </c>
      <c r="DL196" s="110">
        <f t="shared" si="1584"/>
        <v>1.6657993231786119</v>
      </c>
      <c r="DM196" s="136">
        <f t="shared" si="1585"/>
        <v>1.9943100880436639</v>
      </c>
      <c r="DO196" s="110">
        <f t="shared" si="733"/>
        <v>0.82733451256850798</v>
      </c>
      <c r="DP196" s="110">
        <f t="shared" si="396"/>
        <v>0.80063271886216447</v>
      </c>
      <c r="DR196" s="110">
        <f t="shared" si="397"/>
        <v>0.80430359866560974</v>
      </c>
      <c r="DS196" s="125" t="str">
        <f t="shared" si="1571"/>
        <v>-</v>
      </c>
      <c r="DT196" s="110">
        <f>IF(SeilBeregnet=0,"-",DT$7*(DT$4*DV196*DW196*DX196*PropF+DT$6)+ErfaringsF+Dyp_F)</f>
        <v>0.80350353288680898</v>
      </c>
      <c r="DU196" s="125" t="str">
        <f t="shared" si="1572"/>
        <v>-</v>
      </c>
      <c r="DV196" s="110">
        <f t="shared" si="1586"/>
        <v>3.1404863590494303</v>
      </c>
      <c r="DW196" s="110">
        <f t="shared" si="1587"/>
        <v>1.9745464681619453</v>
      </c>
      <c r="DX196" s="110">
        <f t="shared" si="1588"/>
        <v>1.51284121476291</v>
      </c>
      <c r="DZ196" s="110">
        <f>IF(SeilBeregnet=0,"-",DZ$7*(DZ$4*EB196*EC196*ED196*PropF+DZ$6)+ErfaringsF+Dyp_F)</f>
        <v>0.80759180250337037</v>
      </c>
      <c r="EB196" s="110">
        <f t="shared" si="1589"/>
        <v>3.1404863590494303</v>
      </c>
      <c r="EC196" s="110">
        <f t="shared" si="1590"/>
        <v>1.9746673863959516</v>
      </c>
      <c r="ED196" s="110">
        <f t="shared" si="1591"/>
        <v>1.7366027764452827</v>
      </c>
      <c r="EE196" s="110">
        <f>IF(SeilBeregnet=0,"-",EE$7*(EE$4*EG196+EE$6)*EJ196*PropF+ErfaringsF+Dyp_F)</f>
        <v>0.79587989863336306</v>
      </c>
      <c r="EG196" s="110">
        <f t="shared" si="1592"/>
        <v>4.7510571983706882</v>
      </c>
      <c r="EH196" s="110">
        <f t="shared" si="1593"/>
        <v>3.1404863590494303</v>
      </c>
      <c r="EI196" s="110">
        <f t="shared" si="1594"/>
        <v>1.51284121476291</v>
      </c>
      <c r="EJ196" s="110">
        <f t="shared" si="1595"/>
        <v>1.6657993231786119</v>
      </c>
      <c r="EK196" s="110">
        <f>IF(SeilBeregnet=0,"-",EK$7*(EK$4*EM:EM+EK$6)*EP:EP*PropF+ErfaringsF+Dyp_F)</f>
        <v>0.79817150325270525</v>
      </c>
      <c r="EM196" s="110">
        <f>IF(SeilBeregnet=0,EM195,(EN:EN*EO:EO)^EM$3)</f>
        <v>1.7423131850441143</v>
      </c>
      <c r="EN196" s="110">
        <f t="shared" si="1596"/>
        <v>3.1404863590494303</v>
      </c>
      <c r="EO196" s="110">
        <f t="shared" si="1597"/>
        <v>0.96661946199231552</v>
      </c>
      <c r="EP196" s="110">
        <f t="shared" si="1598"/>
        <v>1.6833672989163568</v>
      </c>
      <c r="EQ196" s="110">
        <f>IF(SeilBeregnet=0,"-",EQ$7*(ES:ES+EQ$6)*EV:EV*PropF+ErfaringsF+Dyp_F)</f>
        <v>0.78896110742051662</v>
      </c>
      <c r="ES196" s="110">
        <f>(ET:ET*EU:EU)^ES$3</f>
        <v>1.7423640415599717</v>
      </c>
      <c r="ET196" s="110">
        <f t="shared" si="1599"/>
        <v>3.140669697529153</v>
      </c>
      <c r="EU196" s="110">
        <f t="shared" si="1600"/>
        <v>0.96661946199231552</v>
      </c>
      <c r="EV196" s="110">
        <f t="shared" si="1601"/>
        <v>1.6833672989163568</v>
      </c>
      <c r="EW196" s="110">
        <f>IF(SeilBeregnet=0,"-",EW$7*(EY:EY+EW$6)*FB:FB*PropF+ErfaringsF+Dyp_F)</f>
        <v>0.78519501289057247</v>
      </c>
      <c r="EX196" s="144" t="str">
        <f t="shared" si="1573"/>
        <v>-</v>
      </c>
      <c r="EY196" s="110">
        <f>(EZ:EZ*FA:FA)^EY$3</f>
        <v>2.9344947327281479</v>
      </c>
      <c r="EZ196" s="136">
        <f t="shared" si="1602"/>
        <v>3.140669697529153</v>
      </c>
      <c r="FA196" s="136">
        <f t="shared" si="1603"/>
        <v>0.93435318430231351</v>
      </c>
      <c r="FB196" s="110">
        <f t="shared" si="1604"/>
        <v>0.94662699765472258</v>
      </c>
      <c r="FC196" s="110">
        <f>IF(SeilBeregnet=0,"-",FC$7*(FE:FE+FC$6)*FI:FI*PropF+ErfaringsF+Dyp_F)</f>
        <v>0.80050955575928506</v>
      </c>
      <c r="FD196" s="144" t="str">
        <f t="shared" si="1574"/>
        <v>-</v>
      </c>
      <c r="FE196" s="110">
        <f>(FF:FF+FG:FG+FH:FH)^FE$3+FE$7</f>
        <v>5.0922856827921859</v>
      </c>
      <c r="FF196" s="136">
        <f t="shared" si="1605"/>
        <v>3.140669697529153</v>
      </c>
      <c r="FG196" s="136">
        <f t="shared" si="1606"/>
        <v>0.78019419718834238</v>
      </c>
      <c r="FH196" s="136">
        <f t="shared" si="1607"/>
        <v>1.67142178807469</v>
      </c>
      <c r="FI196" s="110">
        <f t="shared" si="1608"/>
        <v>1.6657993231786119</v>
      </c>
      <c r="FJ196" s="110">
        <f>IF(SeilBeregnet=0,"-",FJ$7*(FL:FL+FJ$6)*FO:FO*PropF+ErfaringsF+Dyp_F)</f>
        <v>0.78758723746110204</v>
      </c>
      <c r="FK196" s="144" t="str">
        <f t="shared" si="1575"/>
        <v>-</v>
      </c>
      <c r="FL196" s="110">
        <f>(FM:FM*FN:FN)^FL$3</f>
        <v>5.2493837615961727</v>
      </c>
      <c r="FM196" s="136">
        <f t="shared" si="1609"/>
        <v>3.140669697529153</v>
      </c>
      <c r="FN196" s="136">
        <f t="shared" si="1610"/>
        <v>1.67142178807469</v>
      </c>
      <c r="FO196" s="110">
        <f t="shared" si="1611"/>
        <v>1.6657993231786119</v>
      </c>
      <c r="FQ196">
        <v>0.95</v>
      </c>
      <c r="FR196" s="64">
        <f>IF(SeilBeregnet=0,"-",0.06*2.43^(1/2)*(SeilBeregnet^(1/2)/Depl^(1/3)+(Loa/Bredde)^(1/2)+5*(Dypg/Loa)^(1/2))*Lwl^(1/4)*FQ196)</f>
        <v>1.0074076494144708</v>
      </c>
      <c r="FS196" s="479"/>
      <c r="FT196" s="18"/>
      <c r="FU196" s="481"/>
      <c r="FV196" s="504"/>
      <c r="FW196" s="18"/>
      <c r="FX196" s="18"/>
      <c r="FY196" s="18"/>
      <c r="FZ196" s="18"/>
      <c r="GB196" s="18"/>
      <c r="GC196" s="481"/>
      <c r="GD196" s="8"/>
      <c r="GE196" s="8"/>
      <c r="GF196" s="8"/>
      <c r="GG196" s="8"/>
      <c r="GI196" s="18"/>
      <c r="GJ196" s="18"/>
      <c r="GK196" s="18"/>
      <c r="GL196" s="18"/>
      <c r="GM196" s="18"/>
      <c r="GN196" s="18"/>
      <c r="GO196" s="18"/>
      <c r="GP196" s="18"/>
    </row>
    <row r="197" spans="1:198" ht="15.6" x14ac:dyDescent="0.3">
      <c r="A197" s="62" t="s">
        <v>38</v>
      </c>
      <c r="B197" s="223"/>
      <c r="C197" s="14" t="str">
        <f>C195</f>
        <v>Gaffel</v>
      </c>
      <c r="G197" s="56"/>
      <c r="H197" s="209">
        <f>TBFavrundet</f>
        <v>74</v>
      </c>
      <c r="I197" s="65">
        <f>COUNTA(O197:AD197)</f>
        <v>2</v>
      </c>
      <c r="J197" s="228">
        <f>SUM(O197:AD197)</f>
        <v>34.200000000000003</v>
      </c>
      <c r="K197" s="119">
        <f>Seilareal/Depl^0.667/K$7</f>
        <v>0.8539827029375362</v>
      </c>
      <c r="L197" s="119">
        <f>Seilareal/Lwl/Lwl/L$7</f>
        <v>0.87522885949701701</v>
      </c>
      <c r="M197" s="95">
        <f>RiggF</f>
        <v>0.81725146198830401</v>
      </c>
      <c r="N197" s="265">
        <f>StHfaktor</f>
        <v>1.013174903464094</v>
      </c>
      <c r="O197" s="147"/>
      <c r="P197" s="147"/>
      <c r="Q197" s="147"/>
      <c r="R197" s="147"/>
      <c r="S197" s="147"/>
      <c r="T197" s="169">
        <v>9.1999999999999993</v>
      </c>
      <c r="U197" s="148"/>
      <c r="V197" s="184">
        <v>25</v>
      </c>
      <c r="W197" s="148"/>
      <c r="X197" s="148"/>
      <c r="Y197" s="147"/>
      <c r="Z197" s="147"/>
      <c r="AA197" s="147"/>
      <c r="AB197" s="147"/>
      <c r="AC197" s="147"/>
      <c r="AD197" s="148"/>
      <c r="AE197" s="260">
        <f t="shared" ref="AE197" si="1630">AE196</f>
        <v>8.5500000000000007</v>
      </c>
      <c r="AF197" s="375">
        <f t="shared" si="1613"/>
        <v>0</v>
      </c>
      <c r="AG197" s="377"/>
      <c r="AH197" s="375">
        <f t="shared" si="1613"/>
        <v>0</v>
      </c>
      <c r="AI197" s="377"/>
      <c r="AJ197" s="295" t="str">
        <f t="shared" ref="AJ197" si="1631" xml:space="preserve"> AJ196</f>
        <v>Los</v>
      </c>
      <c r="AK197" s="47">
        <f>VLOOKUP(AJ197,Skrogform!$1:$1048576,3,FALSE)</f>
        <v>0.97</v>
      </c>
      <c r="AL197" s="66">
        <f t="shared" ref="AL197:AT197" si="1632">AL196</f>
        <v>8.8000000000000007</v>
      </c>
      <c r="AM197" s="66">
        <f t="shared" si="1632"/>
        <v>7.7</v>
      </c>
      <c r="AN197" s="66">
        <f t="shared" si="1632"/>
        <v>3.15</v>
      </c>
      <c r="AO197" s="66">
        <f t="shared" si="1632"/>
        <v>1.4</v>
      </c>
      <c r="AP197" s="66">
        <f t="shared" si="1632"/>
        <v>7</v>
      </c>
      <c r="AQ197" s="66">
        <f t="shared" si="1632"/>
        <v>2.5</v>
      </c>
      <c r="AR197" s="66">
        <f t="shared" si="1632"/>
        <v>0</v>
      </c>
      <c r="AS197" s="284">
        <f t="shared" si="1632"/>
        <v>40</v>
      </c>
      <c r="AT197" s="284">
        <f t="shared" si="1632"/>
        <v>270</v>
      </c>
      <c r="AU197" s="284">
        <f t="shared" ref="AU197:AV197" si="1633">AU196</f>
        <v>100</v>
      </c>
      <c r="AV197" s="284">
        <f t="shared" si="1633"/>
        <v>100</v>
      </c>
      <c r="AW197" s="284"/>
      <c r="AX197" s="284">
        <f>AX196</f>
        <v>0</v>
      </c>
      <c r="AY197" s="68"/>
      <c r="AZ197" s="68"/>
      <c r="BA197" s="289"/>
      <c r="BB197" s="68"/>
      <c r="BC197" s="179"/>
      <c r="BD197" s="68"/>
      <c r="BE197" s="68"/>
      <c r="BF197" s="67" t="str">
        <f t="shared" ref="BF197:BH197" si="1634" xml:space="preserve"> BF196</f>
        <v>Fast</v>
      </c>
      <c r="BG197" s="295">
        <f t="shared" si="1634"/>
        <v>3</v>
      </c>
      <c r="BH197" s="295">
        <f t="shared" si="1634"/>
        <v>40</v>
      </c>
      <c r="BI197" s="47">
        <f>IF((BF197="Fast"),(1.006248-(0.06415*((BH197/100*SQRT(BG197))/POWER(AP197,(1/3))))),1)</f>
        <v>0.98301432378494424</v>
      </c>
      <c r="BJ197" s="61"/>
      <c r="BK197" s="61"/>
      <c r="BM197" s="51">
        <f t="shared" si="1618"/>
        <v>0</v>
      </c>
      <c r="BN197" s="51">
        <f t="shared" si="1618"/>
        <v>0</v>
      </c>
      <c r="BO197" s="51">
        <f t="shared" si="1618"/>
        <v>0</v>
      </c>
      <c r="BP197" s="51">
        <f t="shared" si="1618"/>
        <v>0</v>
      </c>
      <c r="BQ197" s="51">
        <f t="shared" si="1618"/>
        <v>0</v>
      </c>
      <c r="BR197" s="51">
        <f t="shared" si="1618"/>
        <v>9.1999999999999993</v>
      </c>
      <c r="BS197" s="52">
        <f>IF(COUNT(P197:T197)&gt;1,MINA(P197:T197)*BS$9,0)</f>
        <v>0</v>
      </c>
      <c r="BT197" s="88">
        <f t="shared" si="1619"/>
        <v>0</v>
      </c>
      <c r="BU197" s="88">
        <f t="shared" si="1619"/>
        <v>18.75</v>
      </c>
      <c r="BV197" s="88">
        <f t="shared" si="1619"/>
        <v>0</v>
      </c>
      <c r="BW197" s="88">
        <f t="shared" si="1619"/>
        <v>0</v>
      </c>
      <c r="BX197" s="88">
        <f t="shared" si="1619"/>
        <v>0</v>
      </c>
      <c r="BY197" s="88">
        <f t="shared" si="1619"/>
        <v>0</v>
      </c>
      <c r="BZ197" s="88">
        <f t="shared" si="1619"/>
        <v>0</v>
      </c>
      <c r="CA197" s="88">
        <f t="shared" si="1619"/>
        <v>0</v>
      </c>
      <c r="CB197" s="88">
        <f t="shared" si="1619"/>
        <v>0</v>
      </c>
      <c r="CC197" s="88">
        <f t="shared" si="1619"/>
        <v>0</v>
      </c>
      <c r="CD197" s="103">
        <f>SUM(BM197:CC197)</f>
        <v>27.95</v>
      </c>
      <c r="CE197" s="52"/>
      <c r="CF197" s="107">
        <f>J197</f>
        <v>34.200000000000003</v>
      </c>
      <c r="CG197" s="104">
        <f>CD197/CF197</f>
        <v>0.81725146198830401</v>
      </c>
      <c r="CH197" s="53">
        <f>Seilareal/Lwl/Lwl</f>
        <v>0.57682577163096649</v>
      </c>
      <c r="CI197" s="119">
        <f>Seilareal/Depl^0.667/K$7</f>
        <v>0.8539827029375362</v>
      </c>
      <c r="CJ197" s="53">
        <f>Seilareal/Lwl/Lwl/SApRS1</f>
        <v>0.87522885949701701</v>
      </c>
      <c r="CK197" s="209"/>
      <c r="CL197" s="209">
        <f>(ROUND(TBF/CL$6,3)*CL$6)*CL$4</f>
        <v>74</v>
      </c>
      <c r="CM197" s="110">
        <f t="shared" si="234"/>
        <v>0.7390802109503497</v>
      </c>
      <c r="CN197" s="64">
        <f>IF(SeilBeregnet=0,"-",(SeilBeregnet)^(1/2)*StHfaktor/(Depl+DeplTillegg/1000+Vann/1000+Diesel/1000*0.84)^(1/3))</f>
        <v>2.750709751944727</v>
      </c>
      <c r="CO197" s="64">
        <f t="shared" si="203"/>
        <v>1.6183471874253741</v>
      </c>
      <c r="CP197" s="64">
        <f t="shared" si="204"/>
        <v>1.6657993231786119</v>
      </c>
      <c r="CQ197" s="110">
        <f t="shared" si="205"/>
        <v>1.013174903464094</v>
      </c>
      <c r="CR197" s="172" t="str">
        <f>IF(CS197=0,"-",IF(CH197="TBF","-",CR$7*CS197))</f>
        <v>-</v>
      </c>
      <c r="CS197" s="162"/>
      <c r="CT197" s="172" t="str">
        <f>IF(CU197=0,"-",IF(CL197="TBF","-",CT$7*CU197))</f>
        <v>-</v>
      </c>
      <c r="CU197" s="164"/>
      <c r="CV197" s="195" t="s">
        <v>145</v>
      </c>
      <c r="CW197" s="64">
        <v>0.63</v>
      </c>
      <c r="CX197" s="64">
        <v>0.73</v>
      </c>
      <c r="CY197" s="64">
        <v>0.71</v>
      </c>
      <c r="CZ197" s="154" t="s">
        <v>111</v>
      </c>
      <c r="DA197" s="64">
        <f t="shared" si="392"/>
        <v>2.0598098158543237</v>
      </c>
      <c r="DB197" s="49">
        <f t="shared" si="393"/>
        <v>11.814345991561181</v>
      </c>
      <c r="DC197" s="50">
        <f>DB$7*IF(DB197&lt;DB$5,-0.04,IF(DB197&lt;DB$5*1.1,-0.03,IF(DB197&lt;DB$5*1.2,-0.02,IF(DB197&lt;DB$5*1.3,-0.01,0))))</f>
        <v>0</v>
      </c>
      <c r="DE197" s="110">
        <f>IF(SeilBeregnet=0,"-",DE$7*(DG:DG+DE$6)*DL:DL*PropF+ErfaringsF+Dyp_F)</f>
        <v>0.73354610780042984</v>
      </c>
      <c r="DF197" s="144" t="str">
        <f t="shared" si="1570"/>
        <v>-</v>
      </c>
      <c r="DG197" s="110">
        <f>SUM(DH197:DK197)^DG$3+DG$7</f>
        <v>4.4353052636492167</v>
      </c>
      <c r="DH197" s="136">
        <f t="shared" si="1580"/>
        <v>2.7638834755745267</v>
      </c>
      <c r="DI197" s="136">
        <f t="shared" si="1581"/>
        <v>0</v>
      </c>
      <c r="DJ197" s="136">
        <f t="shared" si="1582"/>
        <v>0</v>
      </c>
      <c r="DK197" s="136">
        <f t="shared" si="1583"/>
        <v>1.67142178807469</v>
      </c>
      <c r="DL197" s="110">
        <f t="shared" si="1584"/>
        <v>1.6657993231786119</v>
      </c>
      <c r="DM197" s="136">
        <f t="shared" si="1585"/>
        <v>1.9943100880436639</v>
      </c>
      <c r="DO197" s="110">
        <f t="shared" si="733"/>
        <v>0.76193836180448427</v>
      </c>
      <c r="DP197" s="110">
        <f t="shared" si="396"/>
        <v>0.72825227806958104</v>
      </c>
      <c r="DR197" s="110">
        <f t="shared" si="397"/>
        <v>0.7481124644803101</v>
      </c>
      <c r="DS197" s="125" t="str">
        <f t="shared" si="1571"/>
        <v>-</v>
      </c>
      <c r="DT197" s="110">
        <f>IF(SeilBeregnet=0,"-",DT$7*(DT$4*DV197*DW197*DX197*PropF+DT$6)+ErfaringsF+Dyp_F)</f>
        <v>0.73417248950245417</v>
      </c>
      <c r="DU197" s="125" t="str">
        <f t="shared" si="1572"/>
        <v>-</v>
      </c>
      <c r="DV197" s="110">
        <f t="shared" si="1586"/>
        <v>2.7637221322167895</v>
      </c>
      <c r="DW197" s="110">
        <f t="shared" si="1587"/>
        <v>1.9745464681619453</v>
      </c>
      <c r="DX197" s="110">
        <f t="shared" si="1588"/>
        <v>1.51284121476291</v>
      </c>
      <c r="DZ197" s="110">
        <f>IF(SeilBeregnet=0,"-",DZ$7*(DZ$4*EB197*EC197*ED197*PropF+DZ$6)+ErfaringsF+Dyp_F)</f>
        <v>0.74575288681564267</v>
      </c>
      <c r="EB197" s="110">
        <f t="shared" si="1589"/>
        <v>2.7637221322167895</v>
      </c>
      <c r="EC197" s="110">
        <f t="shared" si="1590"/>
        <v>1.9746673863959516</v>
      </c>
      <c r="ED197" s="110">
        <f t="shared" si="1591"/>
        <v>1.7366027764452827</v>
      </c>
      <c r="EE197" s="110">
        <f>IF(SeilBeregnet=0,"-",EE$7*(EE$4*EG197+EE$6)*EJ197*PropF+ErfaringsF+Dyp_F)</f>
        <v>0.72868462040698978</v>
      </c>
      <c r="EG197" s="110">
        <f t="shared" si="1592"/>
        <v>4.1810727477699876</v>
      </c>
      <c r="EH197" s="110">
        <f t="shared" si="1593"/>
        <v>2.7637221322167895</v>
      </c>
      <c r="EI197" s="110">
        <f t="shared" si="1594"/>
        <v>1.51284121476291</v>
      </c>
      <c r="EJ197" s="110">
        <f t="shared" si="1595"/>
        <v>1.6657993231786119</v>
      </c>
      <c r="EK197" s="110">
        <f>IF(SeilBeregnet=0,"-",EK$7*(EK$4*EM:EM+EK$6)*EP:EP*PropF+ErfaringsF+Dyp_F)</f>
        <v>0.72887870340399052</v>
      </c>
      <c r="EM197" s="110">
        <f>IF(SeilBeregnet=0,EM196,(EN:EN*EO:EO)^EM$3)</f>
        <v>1.6344624806154615</v>
      </c>
      <c r="EN197" s="110">
        <f t="shared" si="1596"/>
        <v>2.7637221322167895</v>
      </c>
      <c r="EO197" s="110">
        <f t="shared" si="1597"/>
        <v>0.96661946199231552</v>
      </c>
      <c r="EP197" s="110">
        <f t="shared" si="1598"/>
        <v>1.6833672989163568</v>
      </c>
      <c r="EQ197" s="110">
        <f>IF(SeilBeregnet=0,"-",EQ$7*(ES:ES+EQ$6)*EV:EV*PropF+ErfaringsF+Dyp_F)</f>
        <v>0.74012372736019283</v>
      </c>
      <c r="ES197" s="110">
        <f>(ET:ET*EU:EU)^ES$3</f>
        <v>1.6345101890686702</v>
      </c>
      <c r="ET197" s="110">
        <f t="shared" si="1599"/>
        <v>2.7638834755745267</v>
      </c>
      <c r="EU197" s="110">
        <f t="shared" si="1600"/>
        <v>0.96661946199231552</v>
      </c>
      <c r="EV197" s="110">
        <f t="shared" si="1601"/>
        <v>1.6833672989163568</v>
      </c>
      <c r="EW197" s="110">
        <f>IF(SeilBeregnet=0,"-",EW$7*(EY:EY+EW$6)*FB:FB*PropF+ErfaringsF+Dyp_F)</f>
        <v>0.72917529385787916</v>
      </c>
      <c r="EX197" s="144" t="str">
        <f t="shared" si="1573"/>
        <v>-</v>
      </c>
      <c r="EY197" s="110">
        <f>(EZ:EZ*FA:FA)^EY$3</f>
        <v>2.5824433264436046</v>
      </c>
      <c r="EZ197" s="136">
        <f t="shared" si="1602"/>
        <v>2.7638834755745267</v>
      </c>
      <c r="FA197" s="136">
        <f t="shared" si="1603"/>
        <v>0.93435318430231351</v>
      </c>
      <c r="FB197" s="110">
        <f t="shared" si="1604"/>
        <v>0.94662699765472258</v>
      </c>
      <c r="FC197" s="110">
        <f>IF(SeilBeregnet=0,"-",FC$7*(FE:FE+FC$6)*FI:FI*PropF+ErfaringsF+Dyp_F)</f>
        <v>0.72656464716136582</v>
      </c>
      <c r="FD197" s="144" t="str">
        <f t="shared" si="1574"/>
        <v>-</v>
      </c>
      <c r="FE197" s="110">
        <f>(FF:FF+FG:FG+FH:FH)^FE$3+FE$7</f>
        <v>4.6218995435394143</v>
      </c>
      <c r="FF197" s="136">
        <f t="shared" si="1605"/>
        <v>2.7638834755745267</v>
      </c>
      <c r="FG197" s="136">
        <f t="shared" si="1606"/>
        <v>0.6865942798901975</v>
      </c>
      <c r="FH197" s="136">
        <f t="shared" si="1607"/>
        <v>1.67142178807469</v>
      </c>
      <c r="FI197" s="110">
        <f t="shared" si="1608"/>
        <v>1.6657993231786119</v>
      </c>
      <c r="FJ197" s="110">
        <f>IF(SeilBeregnet=0,"-",FJ$7*(FL:FL+FJ$6)*FO:FO*PropF+ErfaringsF+Dyp_F)</f>
        <v>0.73396228210151082</v>
      </c>
      <c r="FK197" s="144" t="str">
        <f t="shared" si="1575"/>
        <v>-</v>
      </c>
      <c r="FL197" s="110">
        <f>(FM:FM*FN:FN)^FL$3</f>
        <v>4.6196150607748638</v>
      </c>
      <c r="FM197" s="136">
        <f t="shared" si="1609"/>
        <v>2.7638834755745267</v>
      </c>
      <c r="FN197" s="136">
        <f t="shared" si="1610"/>
        <v>1.67142178807469</v>
      </c>
      <c r="FO197" s="110">
        <f t="shared" si="1611"/>
        <v>1.6657993231786119</v>
      </c>
      <c r="FQ197">
        <v>0.95</v>
      </c>
      <c r="FR197" s="64">
        <f>IF(SeilBeregnet=0,"-",0.06*2.43^(1/2)*(SeilBeregnet^(1/2)/Depl^(1/3)+(Loa/Bredde)^(1/2)+5*(Dypg/Loa)^(1/2))*Lwl^(1/4)*FQ197)</f>
        <v>0.9516419032893243</v>
      </c>
      <c r="FS197" s="479"/>
      <c r="FT197" s="18"/>
      <c r="FU197" s="481"/>
      <c r="FV197" s="504"/>
      <c r="FW197" s="18"/>
      <c r="FX197" s="18"/>
      <c r="FY197" s="18"/>
      <c r="FZ197" s="18"/>
      <c r="GB197" s="18"/>
      <c r="GC197" s="481"/>
      <c r="GD197" s="8"/>
      <c r="GE197" s="8"/>
      <c r="GF197" s="8"/>
      <c r="GG197" s="8"/>
      <c r="GI197" s="18"/>
      <c r="GJ197" s="18"/>
      <c r="GK197" s="18"/>
      <c r="GL197" s="18"/>
      <c r="GM197" s="18"/>
      <c r="GN197" s="18"/>
      <c r="GO197" s="18"/>
      <c r="GP197" s="18"/>
    </row>
    <row r="198" spans="1:198" ht="15.6" x14ac:dyDescent="0.3">
      <c r="A198" s="54" t="s">
        <v>160</v>
      </c>
      <c r="B198" s="223">
        <f t="shared" si="199"/>
        <v>0</v>
      </c>
      <c r="C198" s="55" t="s">
        <v>22</v>
      </c>
      <c r="D198" s="55"/>
      <c r="E198" s="55"/>
      <c r="F198" s="55"/>
      <c r="G198" s="56"/>
      <c r="H198" s="209"/>
      <c r="I198" s="126" t="str">
        <f>A198</f>
        <v>Ny båt gaffel, kopier</v>
      </c>
      <c r="J198" s="229"/>
      <c r="K198" s="119"/>
      <c r="L198" s="119"/>
      <c r="M198" s="95"/>
      <c r="N198" s="265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270"/>
      <c r="AF198" s="296"/>
      <c r="AG198" s="377"/>
      <c r="AH198" s="296"/>
      <c r="AI198" s="377"/>
      <c r="AJ198" s="296" t="s">
        <v>237</v>
      </c>
      <c r="AK198" s="47">
        <f>VLOOKUP(AJ198,Skrogform!$1:$1048576,3,FALSE)</f>
        <v>0.98</v>
      </c>
      <c r="AL198" s="57"/>
      <c r="AM198" s="57"/>
      <c r="AN198" s="57"/>
      <c r="AO198" s="57"/>
      <c r="AP198" s="57"/>
      <c r="AQ198" s="57"/>
      <c r="AR198" s="57"/>
      <c r="AS198" s="281"/>
      <c r="AT198" s="282">
        <f>AS198*7</f>
        <v>0</v>
      </c>
      <c r="AU198" s="281">
        <f>ROUND(Depl*10,-2)</f>
        <v>0</v>
      </c>
      <c r="AV198" s="281">
        <f>ROUND(Depl*10,-2)</f>
        <v>0</v>
      </c>
      <c r="AW198" s="270">
        <f>Depl+Diesel/1000+Vann/1000</f>
        <v>0</v>
      </c>
      <c r="AX198" s="281"/>
      <c r="AY198" s="98" t="e">
        <f>Bredde/(Loa+Lwl)*2</f>
        <v>#DIV/0!</v>
      </c>
      <c r="AZ198" s="98" t="e">
        <f>(Kjøl+Ballast)/Depl</f>
        <v>#DIV/0!</v>
      </c>
      <c r="BA198" s="288" t="e">
        <f>BA$7*((Depl-Kjøl-Ballast-VektMotor/1000-VektAnnet/1000)/Loa/Lwl/Bredde)</f>
        <v>#DIV/0!</v>
      </c>
      <c r="BB198" s="98" t="e">
        <f>BB$7*(Depl/Loa/Lwl/Lwl)</f>
        <v>#DIV/0!</v>
      </c>
      <c r="BC198" s="178" t="e">
        <f>BC$7*(Depl/Loa/Lwl/Bredde)</f>
        <v>#DIV/0!</v>
      </c>
      <c r="BD198" s="98" t="e">
        <f>BD$7*Bredde/(Loa+Lwl)*2</f>
        <v>#DIV/0!</v>
      </c>
      <c r="BE198" s="98" t="e">
        <f>BE$7*(Dypg/Lwl)</f>
        <v>#DIV/0!</v>
      </c>
      <c r="BF198" s="58"/>
      <c r="BG198" s="296"/>
      <c r="BH198" s="296"/>
      <c r="BI198" s="47">
        <f t="shared" si="1370"/>
        <v>1</v>
      </c>
      <c r="BJ198" s="61"/>
      <c r="BK198" s="61"/>
      <c r="BM198" s="214"/>
      <c r="BN198" s="214" t="str">
        <f>$A198</f>
        <v>Ny båt gaffel, kopier</v>
      </c>
      <c r="BO198" s="10"/>
      <c r="BP198" s="10"/>
      <c r="BQ198" s="10"/>
      <c r="BR198" s="10"/>
      <c r="BS198" s="52"/>
      <c r="BT198" s="214" t="str">
        <f>$A198</f>
        <v>Ny båt gaffel, kopier</v>
      </c>
      <c r="BU198" s="10"/>
      <c r="BV198" s="10"/>
      <c r="BW198" s="10"/>
      <c r="BX198" s="10"/>
      <c r="BY198" s="10"/>
      <c r="BZ198" s="10"/>
      <c r="CA198" s="10"/>
      <c r="CB198" s="10"/>
      <c r="CC198" s="10"/>
      <c r="CD198" s="214"/>
      <c r="CE198" s="10"/>
      <c r="CF198" s="214" t="str">
        <f>$A198</f>
        <v>Ny båt gaffel, kopier</v>
      </c>
      <c r="CG198" s="212"/>
      <c r="CH198" s="212"/>
      <c r="CI198" s="119"/>
      <c r="CJ198" s="212"/>
      <c r="CK198" s="208"/>
      <c r="CL198" s="208" t="s">
        <v>26</v>
      </c>
      <c r="CM198" s="110" t="str">
        <f t="shared" si="1189"/>
        <v>-</v>
      </c>
      <c r="CN198" s="64" t="str">
        <f>IF(SeilBeregnet=0,"-",(SeilBeregnet)^(1/2)*StHfaktor/(Depl+DeplTillegg/1000+Vann/1000+Diesel/1000*0.84)^(1/3))</f>
        <v>-</v>
      </c>
      <c r="CO198" s="64" t="str">
        <f t="shared" si="1140"/>
        <v>-</v>
      </c>
      <c r="CP198" s="64" t="str">
        <f t="shared" si="1141"/>
        <v>-</v>
      </c>
      <c r="CQ198" s="110" t="str">
        <f t="shared" si="1142"/>
        <v>-</v>
      </c>
      <c r="CR198" s="172" t="str">
        <f t="shared" si="1563"/>
        <v>-</v>
      </c>
      <c r="CS198" s="162"/>
      <c r="CT198" s="172" t="str">
        <f t="shared" si="1373"/>
        <v>-</v>
      </c>
      <c r="CU198" s="164"/>
      <c r="CV198" s="195" t="s">
        <v>145</v>
      </c>
      <c r="CW198" s="30" t="s">
        <v>26</v>
      </c>
      <c r="CX198" s="30" t="s">
        <v>26</v>
      </c>
      <c r="CY198" s="30" t="s">
        <v>26</v>
      </c>
      <c r="CZ198" s="153">
        <v>2022</v>
      </c>
      <c r="DA198" s="64" t="str">
        <f t="shared" si="1397"/>
        <v>-</v>
      </c>
      <c r="DB198" s="49">
        <f t="shared" si="1398"/>
        <v>0</v>
      </c>
      <c r="DC198" s="50">
        <f t="shared" si="1399"/>
        <v>0</v>
      </c>
      <c r="DE198" s="110" t="str">
        <f>IF(SeilBeregnet=0,"-",DE$7*(DG:DG+DE$6)*DL:DL*PropF+ErfaringsF+Dyp_F)</f>
        <v>-</v>
      </c>
      <c r="DF198" s="144" t="str">
        <f t="shared" si="1512"/>
        <v>-</v>
      </c>
      <c r="DG198" s="110">
        <f t="shared" si="1400"/>
        <v>4.4353052636492167</v>
      </c>
      <c r="DH198" s="136">
        <f t="shared" si="1580"/>
        <v>2.7638834755745267</v>
      </c>
      <c r="DI198" s="136">
        <f t="shared" si="1581"/>
        <v>0</v>
      </c>
      <c r="DJ198" s="136">
        <f t="shared" si="1582"/>
        <v>0</v>
      </c>
      <c r="DK198" s="136">
        <f t="shared" si="1583"/>
        <v>1.67142178807469</v>
      </c>
      <c r="DL198" s="110">
        <f t="shared" si="1584"/>
        <v>1.6657993231786119</v>
      </c>
      <c r="DM198" s="136">
        <f t="shared" si="1585"/>
        <v>1.9943100880436639</v>
      </c>
      <c r="DO198" s="110" t="str">
        <f t="shared" si="344"/>
        <v>-</v>
      </c>
      <c r="DP198" s="110" t="str">
        <f t="shared" si="1401"/>
        <v>-</v>
      </c>
      <c r="DR198" s="110" t="str">
        <f t="shared" si="1402"/>
        <v>-</v>
      </c>
      <c r="DS198" s="125" t="str">
        <f t="shared" si="1513"/>
        <v>-</v>
      </c>
      <c r="DT198" s="110" t="str">
        <f t="shared" si="1403"/>
        <v>-</v>
      </c>
      <c r="DU198" s="125" t="str">
        <f t="shared" si="1514"/>
        <v>-</v>
      </c>
      <c r="DV198" s="110">
        <f t="shared" si="1586"/>
        <v>2.7637221322167895</v>
      </c>
      <c r="DW198" s="110">
        <f t="shared" si="1587"/>
        <v>1.9745464681619453</v>
      </c>
      <c r="DX198" s="110">
        <f t="shared" si="1588"/>
        <v>1.51284121476291</v>
      </c>
      <c r="DZ198" s="110" t="str">
        <f t="shared" si="1404"/>
        <v>-</v>
      </c>
      <c r="EB198" s="110">
        <f t="shared" si="1589"/>
        <v>2.7637221322167895</v>
      </c>
      <c r="EC198" s="110">
        <f t="shared" si="1590"/>
        <v>1.9746673863959516</v>
      </c>
      <c r="ED198" s="110">
        <f t="shared" si="1591"/>
        <v>1.7366027764452827</v>
      </c>
      <c r="EE198" s="110" t="str">
        <f t="shared" si="1405"/>
        <v>-</v>
      </c>
      <c r="EG198" s="110">
        <f t="shared" si="1592"/>
        <v>4.1810727477699876</v>
      </c>
      <c r="EH198" s="110">
        <f t="shared" si="1593"/>
        <v>2.7637221322167895</v>
      </c>
      <c r="EI198" s="110">
        <f t="shared" si="1594"/>
        <v>1.51284121476291</v>
      </c>
      <c r="EJ198" s="110">
        <f t="shared" si="1595"/>
        <v>1.6657993231786119</v>
      </c>
      <c r="EK198" s="110" t="str">
        <f>IF(SeilBeregnet=0,"-",EK$7*(EK$4*EM:EM+EK$6)*EP:EP*PropF+ErfaringsF+Dyp_F)</f>
        <v>-</v>
      </c>
      <c r="EM198" s="110">
        <f>IF(SeilBeregnet=0,EM197,(EN:EN*EO:EO)^EM$3)</f>
        <v>1.6344624806154615</v>
      </c>
      <c r="EN198" s="110">
        <f t="shared" si="1596"/>
        <v>2.7637221322167895</v>
      </c>
      <c r="EO198" s="110">
        <f t="shared" si="1597"/>
        <v>0.96661946199231552</v>
      </c>
      <c r="EP198" s="110">
        <f t="shared" si="1598"/>
        <v>1.6833672989163568</v>
      </c>
      <c r="EQ198" s="110" t="str">
        <f>IF(SeilBeregnet=0,"-",EQ$7*(ES:ES+EQ$6)*EV:EV*PropF+ErfaringsF+Dyp_F)</f>
        <v>-</v>
      </c>
      <c r="ES198" s="110">
        <f>(ET:ET*EU:EU)^ES$3</f>
        <v>1.6345101890686702</v>
      </c>
      <c r="ET198" s="110">
        <f t="shared" si="1599"/>
        <v>2.7638834755745267</v>
      </c>
      <c r="EU198" s="110">
        <f t="shared" si="1600"/>
        <v>0.96661946199231552</v>
      </c>
      <c r="EV198" s="110">
        <f t="shared" si="1601"/>
        <v>1.6833672989163568</v>
      </c>
      <c r="EW198" s="110" t="str">
        <f>IF(SeilBeregnet=0,"-",EW$7*(EY:EY+EW$6)*FB:FB*PropF+ErfaringsF+Dyp_F)</f>
        <v>-</v>
      </c>
      <c r="EX198" s="144" t="str">
        <f t="shared" si="1246"/>
        <v>-</v>
      </c>
      <c r="EY198" s="110">
        <f>(EZ:EZ*FA:FA)^EY$3</f>
        <v>2.5824433264436046</v>
      </c>
      <c r="EZ198" s="136">
        <f t="shared" si="1602"/>
        <v>2.7638834755745267</v>
      </c>
      <c r="FA198" s="136">
        <f t="shared" si="1603"/>
        <v>0.93435318430231351</v>
      </c>
      <c r="FB198" s="110">
        <f t="shared" si="1604"/>
        <v>0.94662699765472258</v>
      </c>
      <c r="FC198" s="110" t="str">
        <f>IF(SeilBeregnet=0,"-",FC$7*(FE:FE+FC$6)*FI:FI*PropF+ErfaringsF+Dyp_F)</f>
        <v>-</v>
      </c>
      <c r="FD198" s="144" t="str">
        <f t="shared" si="1247"/>
        <v>-</v>
      </c>
      <c r="FE198" s="110">
        <f>(FF:FF+FG:FG+FH:FH)^FE$3+FE$7</f>
        <v>4.6218995435394143</v>
      </c>
      <c r="FF198" s="136">
        <f t="shared" si="1605"/>
        <v>2.7638834755745267</v>
      </c>
      <c r="FG198" s="136">
        <f t="shared" si="1606"/>
        <v>0.6865942798901975</v>
      </c>
      <c r="FH198" s="136">
        <f t="shared" si="1607"/>
        <v>1.67142178807469</v>
      </c>
      <c r="FI198" s="110">
        <f t="shared" si="1608"/>
        <v>1.6657993231786119</v>
      </c>
      <c r="FJ198" s="110" t="str">
        <f>IF(SeilBeregnet=0,"-",FJ$7*(FL:FL+FJ$6)*FO:FO*PropF+ErfaringsF+Dyp_F)</f>
        <v>-</v>
      </c>
      <c r="FK198" s="144" t="str">
        <f t="shared" si="1248"/>
        <v>-</v>
      </c>
      <c r="FL198" s="110">
        <f>(FM:FM*FN:FN)^FL$3</f>
        <v>4.6196150607748638</v>
      </c>
      <c r="FM198" s="136">
        <f t="shared" si="1609"/>
        <v>2.7638834755745267</v>
      </c>
      <c r="FN198" s="136">
        <f t="shared" si="1610"/>
        <v>1.67142178807469</v>
      </c>
      <c r="FO198" s="110">
        <f t="shared" si="1611"/>
        <v>1.6657993231786119</v>
      </c>
      <c r="FQ198">
        <v>0.95</v>
      </c>
      <c r="FR198" s="64" t="str">
        <f t="shared" si="1506"/>
        <v>-</v>
      </c>
      <c r="FS198" s="480"/>
      <c r="FT198" s="59"/>
      <c r="FU198" s="475"/>
      <c r="FV198" s="77"/>
      <c r="FW198" s="59"/>
      <c r="FX198" s="59"/>
      <c r="FY198" s="59"/>
      <c r="FZ198" s="59"/>
      <c r="GB198" s="59" t="s">
        <v>522</v>
      </c>
      <c r="GC198" s="475" t="s">
        <v>522</v>
      </c>
      <c r="GD198" s="60" t="s">
        <v>522</v>
      </c>
      <c r="GE198" s="60" t="s">
        <v>522</v>
      </c>
      <c r="GF198" s="60" t="s">
        <v>522</v>
      </c>
      <c r="GG198" s="60" t="s">
        <v>522</v>
      </c>
      <c r="GI198" s="59"/>
      <c r="GJ198" s="59"/>
      <c r="GK198" s="59"/>
      <c r="GL198" s="59"/>
      <c r="GM198" s="59"/>
      <c r="GN198" s="59"/>
      <c r="GO198" s="59"/>
      <c r="GP198" s="59"/>
    </row>
    <row r="199" spans="1:198" ht="15.6" x14ac:dyDescent="0.3">
      <c r="A199" s="62" t="s">
        <v>31</v>
      </c>
      <c r="B199" s="223"/>
      <c r="C199" s="63" t="str">
        <f>C198</f>
        <v>Gaffel</v>
      </c>
      <c r="D199" s="63"/>
      <c r="E199" s="63"/>
      <c r="F199" s="63"/>
      <c r="G199" s="56"/>
      <c r="H199" s="209" t="e">
        <f>TBFavrundet</f>
        <v>#VALUE!</v>
      </c>
      <c r="I199" s="65">
        <f>COUNTA(O199:AD199)</f>
        <v>0</v>
      </c>
      <c r="J199" s="228">
        <f>SUM(O199:AD199)</f>
        <v>0</v>
      </c>
      <c r="K199" s="119" t="e">
        <f>Seilareal/Depl^0.667/K$7</f>
        <v>#DIV/0!</v>
      </c>
      <c r="L199" s="119" t="e">
        <f>Seilareal/Lwl/Lwl/L$7</f>
        <v>#DIV/0!</v>
      </c>
      <c r="M199" s="95" t="e">
        <f>RiggF</f>
        <v>#DIV/0!</v>
      </c>
      <c r="N199" s="265" t="str">
        <f>StHfaktor</f>
        <v>-</v>
      </c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260">
        <f t="shared" ref="AE199" si="1635">AE198</f>
        <v>0</v>
      </c>
      <c r="AF199" s="375">
        <f t="shared" ref="AF199:AH202" si="1636" xml:space="preserve"> AF198</f>
        <v>0</v>
      </c>
      <c r="AG199" s="377"/>
      <c r="AH199" s="375">
        <f t="shared" si="1636"/>
        <v>0</v>
      </c>
      <c r="AI199" s="377"/>
      <c r="AJ199" s="295" t="str">
        <f t="shared" ref="AJ199" si="1637" xml:space="preserve"> AJ198</f>
        <v>Lystb</v>
      </c>
      <c r="AK199" s="47">
        <f>VLOOKUP(AJ199,Skrogform!$1:$1048576,3,FALSE)</f>
        <v>0.98</v>
      </c>
      <c r="AL199" s="66">
        <f t="shared" ref="AL199:AT199" si="1638">AL198</f>
        <v>0</v>
      </c>
      <c r="AM199" s="66">
        <f t="shared" si="1638"/>
        <v>0</v>
      </c>
      <c r="AN199" s="66">
        <f t="shared" si="1638"/>
        <v>0</v>
      </c>
      <c r="AO199" s="66">
        <f t="shared" si="1638"/>
        <v>0</v>
      </c>
      <c r="AP199" s="66">
        <f t="shared" si="1638"/>
        <v>0</v>
      </c>
      <c r="AQ199" s="66">
        <f t="shared" si="1638"/>
        <v>0</v>
      </c>
      <c r="AR199" s="66">
        <f t="shared" si="1638"/>
        <v>0</v>
      </c>
      <c r="AS199" s="284">
        <f t="shared" si="1638"/>
        <v>0</v>
      </c>
      <c r="AT199" s="284">
        <f t="shared" si="1638"/>
        <v>0</v>
      </c>
      <c r="AU199" s="284">
        <f t="shared" ref="AU199:AV199" si="1639">AU198</f>
        <v>0</v>
      </c>
      <c r="AV199" s="284">
        <f t="shared" si="1639"/>
        <v>0</v>
      </c>
      <c r="AW199" s="284"/>
      <c r="AX199" s="284">
        <f>AX198</f>
        <v>0</v>
      </c>
      <c r="AY199" s="68"/>
      <c r="AZ199" s="68"/>
      <c r="BA199" s="289"/>
      <c r="BB199" s="68"/>
      <c r="BC199" s="179"/>
      <c r="BD199" s="68"/>
      <c r="BE199" s="68"/>
      <c r="BF199" s="67">
        <f t="shared" ref="BF199:BH199" si="1640" xml:space="preserve"> BF198</f>
        <v>0</v>
      </c>
      <c r="BG199" s="295">
        <f t="shared" si="1640"/>
        <v>0</v>
      </c>
      <c r="BH199" s="295">
        <f t="shared" si="1640"/>
        <v>0</v>
      </c>
      <c r="BI199" s="47">
        <f t="shared" si="1370"/>
        <v>1</v>
      </c>
      <c r="BJ199" s="61"/>
      <c r="BK199" s="61"/>
      <c r="BM199" s="51">
        <f t="shared" ref="BM199:BR202" si="1641">IF(O199=0,0,O199*BM$9)</f>
        <v>0</v>
      </c>
      <c r="BN199" s="51">
        <f t="shared" si="1641"/>
        <v>0</v>
      </c>
      <c r="BO199" s="51">
        <f t="shared" si="1641"/>
        <v>0</v>
      </c>
      <c r="BP199" s="51">
        <f t="shared" si="1641"/>
        <v>0</v>
      </c>
      <c r="BQ199" s="51">
        <f t="shared" si="1641"/>
        <v>0</v>
      </c>
      <c r="BR199" s="51">
        <f t="shared" si="1641"/>
        <v>0</v>
      </c>
      <c r="BS199" s="52">
        <f>IF(COUNT(P199:T199)&gt;1,MINA(P199:T199)*BS$9,0)</f>
        <v>0</v>
      </c>
      <c r="BT199" s="88">
        <f t="shared" ref="BT199:CC202" si="1642">IF(U199=0,0,U199*BT$9)</f>
        <v>0</v>
      </c>
      <c r="BU199" s="88">
        <f t="shared" si="1642"/>
        <v>0</v>
      </c>
      <c r="BV199" s="88">
        <f t="shared" si="1642"/>
        <v>0</v>
      </c>
      <c r="BW199" s="88">
        <f t="shared" si="1642"/>
        <v>0</v>
      </c>
      <c r="BX199" s="88">
        <f t="shared" si="1642"/>
        <v>0</v>
      </c>
      <c r="BY199" s="88">
        <f t="shared" si="1642"/>
        <v>0</v>
      </c>
      <c r="BZ199" s="88">
        <f t="shared" si="1642"/>
        <v>0</v>
      </c>
      <c r="CA199" s="88">
        <f t="shared" si="1642"/>
        <v>0</v>
      </c>
      <c r="CB199" s="88">
        <f t="shared" si="1642"/>
        <v>0</v>
      </c>
      <c r="CC199" s="88">
        <f t="shared" si="1642"/>
        <v>0</v>
      </c>
      <c r="CD199" s="103">
        <f>SUM(BM199:CC199)</f>
        <v>0</v>
      </c>
      <c r="CE199" s="52"/>
      <c r="CF199" s="107">
        <f>J199</f>
        <v>0</v>
      </c>
      <c r="CG199" s="104" t="e">
        <f>CD199/CF199</f>
        <v>#DIV/0!</v>
      </c>
      <c r="CH199" s="53" t="e">
        <f>Seilareal/Lwl/Lwl</f>
        <v>#DIV/0!</v>
      </c>
      <c r="CI199" s="119" t="e">
        <f>Seilareal/Depl^0.667/K$7</f>
        <v>#DIV/0!</v>
      </c>
      <c r="CJ199" s="53" t="e">
        <f>Seilareal/Lwl/Lwl/SApRS1</f>
        <v>#DIV/0!</v>
      </c>
      <c r="CK199" s="209"/>
      <c r="CL199" s="209" t="e">
        <f>(ROUND(TBF/CL$6,3)*CL$6)*CL$4</f>
        <v>#VALUE!</v>
      </c>
      <c r="CM199" s="110" t="str">
        <f t="shared" si="1189"/>
        <v>-</v>
      </c>
      <c r="CN199" s="64" t="str">
        <f>IF(SeilBeregnet=0,"-",(SeilBeregnet)^(1/2)*StHfaktor/(Depl+DeplTillegg/1000+Vann/1000+Diesel/1000*0.84)^(1/3))</f>
        <v>-</v>
      </c>
      <c r="CO199" s="64" t="str">
        <f t="shared" si="1140"/>
        <v>-</v>
      </c>
      <c r="CP199" s="64" t="str">
        <f t="shared" si="1141"/>
        <v>-</v>
      </c>
      <c r="CQ199" s="110" t="str">
        <f t="shared" si="1142"/>
        <v>-</v>
      </c>
      <c r="CR199" s="172" t="str">
        <f t="shared" si="1563"/>
        <v>-</v>
      </c>
      <c r="CS199" s="163">
        <f>CS198</f>
        <v>0</v>
      </c>
      <c r="CT199" s="172" t="str">
        <f t="shared" si="1373"/>
        <v>-</v>
      </c>
      <c r="CU199" s="163">
        <f>CU198</f>
        <v>0</v>
      </c>
      <c r="CV199" s="195" t="s">
        <v>145</v>
      </c>
      <c r="CW199" s="64" t="s">
        <v>111</v>
      </c>
      <c r="CX199" s="64" t="s">
        <v>111</v>
      </c>
      <c r="CY199" s="64" t="s">
        <v>111</v>
      </c>
      <c r="CZ199" s="154" t="s">
        <v>111</v>
      </c>
      <c r="DA199" s="64" t="str">
        <f t="shared" si="1397"/>
        <v>-</v>
      </c>
      <c r="DB199" s="49">
        <f t="shared" si="1398"/>
        <v>0</v>
      </c>
      <c r="DC199" s="50">
        <f t="shared" si="1399"/>
        <v>0</v>
      </c>
      <c r="DE199" s="110" t="str">
        <f>IF(SeilBeregnet=0,"-",DE$7*(DG:DG+DE$6)*DL:DL*PropF+ErfaringsF+Dyp_F)</f>
        <v>-</v>
      </c>
      <c r="DF199" s="144" t="str">
        <f t="shared" si="1512"/>
        <v>-</v>
      </c>
      <c r="DG199" s="110">
        <f t="shared" si="1400"/>
        <v>4.4353052636492167</v>
      </c>
      <c r="DH199" s="136">
        <f t="shared" si="1580"/>
        <v>2.7638834755745267</v>
      </c>
      <c r="DI199" s="136">
        <f t="shared" si="1581"/>
        <v>0</v>
      </c>
      <c r="DJ199" s="136">
        <f t="shared" si="1582"/>
        <v>0</v>
      </c>
      <c r="DK199" s="136">
        <f t="shared" si="1583"/>
        <v>1.67142178807469</v>
      </c>
      <c r="DL199" s="110">
        <f t="shared" si="1584"/>
        <v>1.6657993231786119</v>
      </c>
      <c r="DM199" s="136">
        <f t="shared" si="1585"/>
        <v>1.9943100880436639</v>
      </c>
      <c r="DO199" s="110" t="str">
        <f t="shared" si="344"/>
        <v>-</v>
      </c>
      <c r="DP199" s="110" t="str">
        <f t="shared" si="1401"/>
        <v>-</v>
      </c>
      <c r="DR199" s="110" t="str">
        <f t="shared" si="1402"/>
        <v>-</v>
      </c>
      <c r="DS199" s="125" t="str">
        <f t="shared" si="1513"/>
        <v>-</v>
      </c>
      <c r="DT199" s="110" t="str">
        <f t="shared" si="1403"/>
        <v>-</v>
      </c>
      <c r="DU199" s="125" t="str">
        <f t="shared" si="1514"/>
        <v>-</v>
      </c>
      <c r="DV199" s="110">
        <f t="shared" si="214"/>
        <v>2.7637221322167895</v>
      </c>
      <c r="DW199" s="110">
        <f t="shared" si="215"/>
        <v>1.9745464681619453</v>
      </c>
      <c r="DX199" s="110">
        <f t="shared" si="1588"/>
        <v>1.51284121476291</v>
      </c>
      <c r="DZ199" s="110" t="str">
        <f t="shared" si="1404"/>
        <v>-</v>
      </c>
      <c r="EB199" s="110">
        <f t="shared" si="217"/>
        <v>2.7637221322167895</v>
      </c>
      <c r="EC199" s="110">
        <f t="shared" si="1590"/>
        <v>1.9746673863959516</v>
      </c>
      <c r="ED199" s="110">
        <f t="shared" si="1591"/>
        <v>1.7366027764452827</v>
      </c>
      <c r="EE199" s="110" t="str">
        <f t="shared" si="1405"/>
        <v>-</v>
      </c>
      <c r="EG199" s="110">
        <f t="shared" si="1592"/>
        <v>4.1810727477699876</v>
      </c>
      <c r="EH199" s="110">
        <f t="shared" si="219"/>
        <v>2.7637221322167895</v>
      </c>
      <c r="EI199" s="110">
        <f t="shared" si="1594"/>
        <v>1.51284121476291</v>
      </c>
      <c r="EJ199" s="110">
        <f t="shared" si="1595"/>
        <v>1.6657993231786119</v>
      </c>
      <c r="EK199" s="110" t="str">
        <f>IF(SeilBeregnet=0,"-",EK$7*(EK$4*EM:EM+EK$6)*EP:EP*PropF+ErfaringsF+Dyp_F)</f>
        <v>-</v>
      </c>
      <c r="EM199" s="110">
        <f>IF(SeilBeregnet=0,EM198,(EN:EN*EO:EO)^EM$3)</f>
        <v>1.6344624806154615</v>
      </c>
      <c r="EN199" s="110">
        <f t="shared" si="220"/>
        <v>2.7637221322167895</v>
      </c>
      <c r="EO199" s="110">
        <f t="shared" si="1597"/>
        <v>0.96661946199231552</v>
      </c>
      <c r="EP199" s="110">
        <f t="shared" si="1598"/>
        <v>1.6833672989163568</v>
      </c>
      <c r="EQ199" s="110" t="str">
        <f>IF(SeilBeregnet=0,"-",EQ$7*(ES:ES+EQ$6)*EV:EV*PropF+ErfaringsF+Dyp_F)</f>
        <v>-</v>
      </c>
      <c r="ES199" s="110">
        <f>(ET:ET*EU:EU)^ES$3</f>
        <v>1.6345101890686702</v>
      </c>
      <c r="ET199" s="110">
        <f t="shared" si="221"/>
        <v>2.7638834755745267</v>
      </c>
      <c r="EU199" s="110">
        <f t="shared" si="1600"/>
        <v>0.96661946199231552</v>
      </c>
      <c r="EV199" s="110">
        <f t="shared" si="1601"/>
        <v>1.6833672989163568</v>
      </c>
      <c r="EW199" s="110" t="str">
        <f>IF(SeilBeregnet=0,"-",EW$7*(EY:EY+EW$6)*FB:FB*PropF+ErfaringsF+Dyp_F)</f>
        <v>-</v>
      </c>
      <c r="EX199" s="144" t="str">
        <f t="shared" si="1246"/>
        <v>-</v>
      </c>
      <c r="EY199" s="110">
        <f>(EZ:EZ*FA:FA)^EY$3</f>
        <v>2.5824433264436046</v>
      </c>
      <c r="EZ199" s="136">
        <f t="shared" si="1602"/>
        <v>2.7638834755745267</v>
      </c>
      <c r="FA199" s="136">
        <f t="shared" si="1603"/>
        <v>0.93435318430231351</v>
      </c>
      <c r="FB199" s="110">
        <f t="shared" si="1604"/>
        <v>0.94662699765472258</v>
      </c>
      <c r="FC199" s="110" t="str">
        <f>IF(SeilBeregnet=0,"-",FC$7*(FE:FE+FC$6)*FI:FI*PropF+ErfaringsF+Dyp_F)</f>
        <v>-</v>
      </c>
      <c r="FD199" s="144" t="str">
        <f t="shared" si="1247"/>
        <v>-</v>
      </c>
      <c r="FE199" s="110">
        <f>(FF:FF+FG:FG+FH:FH)^FE$3+FE$7</f>
        <v>4.6218995435394143</v>
      </c>
      <c r="FF199" s="136">
        <f t="shared" si="1605"/>
        <v>2.7638834755745267</v>
      </c>
      <c r="FG199" s="136">
        <f t="shared" si="1606"/>
        <v>0.6865942798901975</v>
      </c>
      <c r="FH199" s="136">
        <f t="shared" si="1607"/>
        <v>1.67142178807469</v>
      </c>
      <c r="FI199" s="110">
        <f t="shared" si="1608"/>
        <v>1.6657993231786119</v>
      </c>
      <c r="FJ199" s="110" t="str">
        <f>IF(SeilBeregnet=0,"-",FJ$7*(FL:FL+FJ$6)*FO:FO*PropF+ErfaringsF+Dyp_F)</f>
        <v>-</v>
      </c>
      <c r="FK199" s="144" t="str">
        <f t="shared" si="1248"/>
        <v>-</v>
      </c>
      <c r="FL199" s="110">
        <f>(FM:FM*FN:FN)^FL$3</f>
        <v>4.6196150607748638</v>
      </c>
      <c r="FM199" s="136">
        <f t="shared" si="1609"/>
        <v>2.7638834755745267</v>
      </c>
      <c r="FN199" s="136">
        <f t="shared" si="1610"/>
        <v>1.67142178807469</v>
      </c>
      <c r="FO199" s="110">
        <f t="shared" si="1611"/>
        <v>1.6657993231786119</v>
      </c>
      <c r="FQ199">
        <v>0.95</v>
      </c>
      <c r="FR199" s="64" t="str">
        <f t="shared" si="1506"/>
        <v>-</v>
      </c>
      <c r="FS199" s="479"/>
      <c r="FT199" s="18"/>
      <c r="FU199" s="481"/>
      <c r="FV199" s="504"/>
      <c r="FW199" s="18"/>
      <c r="FX199" s="18"/>
      <c r="FY199" s="18"/>
      <c r="FZ199" s="18"/>
      <c r="GB199" s="18"/>
      <c r="GC199" s="481"/>
      <c r="GD199" s="8"/>
      <c r="GE199" s="8"/>
      <c r="GF199" s="8"/>
      <c r="GG199" s="8"/>
      <c r="GI199" s="18"/>
      <c r="GJ199" s="18"/>
      <c r="GK199" s="18"/>
      <c r="GL199" s="18"/>
      <c r="GM199" s="18"/>
      <c r="GN199" s="18"/>
      <c r="GO199" s="18"/>
      <c r="GP199" s="18"/>
    </row>
    <row r="200" spans="1:198" ht="15.6" x14ac:dyDescent="0.3">
      <c r="A200" s="62" t="s">
        <v>32</v>
      </c>
      <c r="B200" s="223"/>
      <c r="C200" s="63" t="str">
        <f t="shared" ref="C200:C202" si="1643">C199</f>
        <v>Gaffel</v>
      </c>
      <c r="D200" s="63"/>
      <c r="E200" s="63"/>
      <c r="F200" s="63"/>
      <c r="G200" s="56"/>
      <c r="H200" s="209" t="e">
        <f>TBFavrundet</f>
        <v>#VALUE!</v>
      </c>
      <c r="I200" s="65">
        <f>COUNTA(O200:AD200)</f>
        <v>0</v>
      </c>
      <c r="J200" s="228">
        <f>SUM(O200:AD200)</f>
        <v>0</v>
      </c>
      <c r="K200" s="119" t="e">
        <f>Seilareal/Depl^0.667/K$7</f>
        <v>#DIV/0!</v>
      </c>
      <c r="L200" s="119" t="e">
        <f>Seilareal/Lwl/Lwl/L$7</f>
        <v>#DIV/0!</v>
      </c>
      <c r="M200" s="95" t="e">
        <f>RiggF</f>
        <v>#DIV/0!</v>
      </c>
      <c r="N200" s="265" t="str">
        <f>StHfaktor</f>
        <v>-</v>
      </c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260">
        <f t="shared" ref="AE200" si="1644">AE199</f>
        <v>0</v>
      </c>
      <c r="AF200" s="375">
        <f t="shared" si="1636"/>
        <v>0</v>
      </c>
      <c r="AG200" s="377"/>
      <c r="AH200" s="375">
        <f t="shared" si="1636"/>
        <v>0</v>
      </c>
      <c r="AI200" s="377"/>
      <c r="AJ200" s="295" t="str">
        <f t="shared" ref="AJ200" si="1645" xml:space="preserve"> AJ199</f>
        <v>Lystb</v>
      </c>
      <c r="AK200" s="47">
        <f>VLOOKUP(AJ200,Skrogform!$1:$1048576,3,FALSE)</f>
        <v>0.98</v>
      </c>
      <c r="AL200" s="66">
        <f t="shared" ref="AL200:AT200" si="1646">AL199</f>
        <v>0</v>
      </c>
      <c r="AM200" s="66">
        <f t="shared" si="1646"/>
        <v>0</v>
      </c>
      <c r="AN200" s="66">
        <f t="shared" si="1646"/>
        <v>0</v>
      </c>
      <c r="AO200" s="66">
        <f t="shared" si="1646"/>
        <v>0</v>
      </c>
      <c r="AP200" s="66">
        <f t="shared" si="1646"/>
        <v>0</v>
      </c>
      <c r="AQ200" s="66">
        <f t="shared" si="1646"/>
        <v>0</v>
      </c>
      <c r="AR200" s="66">
        <f t="shared" si="1646"/>
        <v>0</v>
      </c>
      <c r="AS200" s="284">
        <f t="shared" si="1646"/>
        <v>0</v>
      </c>
      <c r="AT200" s="284">
        <f t="shared" si="1646"/>
        <v>0</v>
      </c>
      <c r="AU200" s="284">
        <f t="shared" ref="AU200:AV200" si="1647">AU199</f>
        <v>0</v>
      </c>
      <c r="AV200" s="284">
        <f t="shared" si="1647"/>
        <v>0</v>
      </c>
      <c r="AW200" s="284"/>
      <c r="AX200" s="284">
        <f>AX199</f>
        <v>0</v>
      </c>
      <c r="AY200" s="68"/>
      <c r="AZ200" s="68"/>
      <c r="BA200" s="289"/>
      <c r="BB200" s="68"/>
      <c r="BC200" s="179"/>
      <c r="BD200" s="68"/>
      <c r="BE200" s="68"/>
      <c r="BF200" s="67">
        <f t="shared" ref="BF200:BH200" si="1648" xml:space="preserve"> BF199</f>
        <v>0</v>
      </c>
      <c r="BG200" s="295">
        <f t="shared" si="1648"/>
        <v>0</v>
      </c>
      <c r="BH200" s="295">
        <f t="shared" si="1648"/>
        <v>0</v>
      </c>
      <c r="BI200" s="47">
        <f t="shared" si="1370"/>
        <v>1</v>
      </c>
      <c r="BJ200" s="61"/>
      <c r="BK200" s="61"/>
      <c r="BM200" s="51">
        <f t="shared" si="1641"/>
        <v>0</v>
      </c>
      <c r="BN200" s="51">
        <f t="shared" si="1641"/>
        <v>0</v>
      </c>
      <c r="BO200" s="51">
        <f t="shared" si="1641"/>
        <v>0</v>
      </c>
      <c r="BP200" s="51">
        <f t="shared" si="1641"/>
        <v>0</v>
      </c>
      <c r="BQ200" s="51">
        <f t="shared" si="1641"/>
        <v>0</v>
      </c>
      <c r="BR200" s="51">
        <f t="shared" si="1641"/>
        <v>0</v>
      </c>
      <c r="BS200" s="52">
        <f>IF(COUNT(P200:T200)&gt;1,MINA(P200:T200)*BS$9,0)</f>
        <v>0</v>
      </c>
      <c r="BT200" s="88">
        <f t="shared" si="1642"/>
        <v>0</v>
      </c>
      <c r="BU200" s="88">
        <f t="shared" si="1642"/>
        <v>0</v>
      </c>
      <c r="BV200" s="88">
        <f t="shared" si="1642"/>
        <v>0</v>
      </c>
      <c r="BW200" s="88">
        <f t="shared" si="1642"/>
        <v>0</v>
      </c>
      <c r="BX200" s="88">
        <f t="shared" si="1642"/>
        <v>0</v>
      </c>
      <c r="BY200" s="88">
        <f t="shared" si="1642"/>
        <v>0</v>
      </c>
      <c r="BZ200" s="88">
        <f t="shared" si="1642"/>
        <v>0</v>
      </c>
      <c r="CA200" s="88">
        <f t="shared" si="1642"/>
        <v>0</v>
      </c>
      <c r="CB200" s="88">
        <f t="shared" si="1642"/>
        <v>0</v>
      </c>
      <c r="CC200" s="88">
        <f t="shared" si="1642"/>
        <v>0</v>
      </c>
      <c r="CD200" s="103">
        <f>SUM(BM200:CC200)</f>
        <v>0</v>
      </c>
      <c r="CE200" s="52"/>
      <c r="CF200" s="107">
        <f>J200</f>
        <v>0</v>
      </c>
      <c r="CG200" s="104" t="e">
        <f>CD200/CF200</f>
        <v>#DIV/0!</v>
      </c>
      <c r="CH200" s="53" t="e">
        <f>Seilareal/Lwl/Lwl</f>
        <v>#DIV/0!</v>
      </c>
      <c r="CI200" s="119" t="e">
        <f>Seilareal/Depl^0.667/K$7</f>
        <v>#DIV/0!</v>
      </c>
      <c r="CJ200" s="53" t="e">
        <f>Seilareal/Lwl/Lwl/SApRS1</f>
        <v>#DIV/0!</v>
      </c>
      <c r="CK200" s="209"/>
      <c r="CL200" s="209" t="e">
        <f>(ROUND(TBF/CL$6,3)*CL$6)*CL$4</f>
        <v>#VALUE!</v>
      </c>
      <c r="CM200" s="110" t="str">
        <f t="shared" si="1189"/>
        <v>-</v>
      </c>
      <c r="CN200" s="64" t="str">
        <f>IF(SeilBeregnet=0,"-",(SeilBeregnet)^(1/2)*StHfaktor/(Depl+DeplTillegg/1000+Vann/1000+Diesel/1000*0.84)^(1/3))</f>
        <v>-</v>
      </c>
      <c r="CO200" s="64" t="str">
        <f t="shared" si="1140"/>
        <v>-</v>
      </c>
      <c r="CP200" s="64" t="str">
        <f t="shared" si="1141"/>
        <v>-</v>
      </c>
      <c r="CQ200" s="110" t="str">
        <f t="shared" si="1142"/>
        <v>-</v>
      </c>
      <c r="CR200" s="172" t="str">
        <f t="shared" si="1563"/>
        <v>-</v>
      </c>
      <c r="CS200" s="162"/>
      <c r="CT200" s="172" t="str">
        <f t="shared" si="1373"/>
        <v>-</v>
      </c>
      <c r="CU200" s="164"/>
      <c r="CV200" s="195" t="s">
        <v>145</v>
      </c>
      <c r="CW200" s="64" t="s">
        <v>111</v>
      </c>
      <c r="CX200" s="64" t="s">
        <v>111</v>
      </c>
      <c r="CY200" s="64" t="s">
        <v>111</v>
      </c>
      <c r="CZ200" s="154" t="s">
        <v>111</v>
      </c>
      <c r="DA200" s="64" t="str">
        <f t="shared" si="1397"/>
        <v>-</v>
      </c>
      <c r="DB200" s="49">
        <f t="shared" si="1398"/>
        <v>0</v>
      </c>
      <c r="DC200" s="50">
        <f t="shared" si="1399"/>
        <v>0</v>
      </c>
      <c r="DE200" s="110" t="str">
        <f>IF(SeilBeregnet=0,"-",DE$7*(DG:DG+DE$6)*DL:DL*PropF+ErfaringsF+Dyp_F)</f>
        <v>-</v>
      </c>
      <c r="DF200" s="144" t="str">
        <f t="shared" si="1512"/>
        <v>-</v>
      </c>
      <c r="DG200" s="110">
        <f t="shared" si="1400"/>
        <v>4.4353052636492167</v>
      </c>
      <c r="DH200" s="136">
        <f t="shared" si="1580"/>
        <v>2.7638834755745267</v>
      </c>
      <c r="DI200" s="136">
        <f t="shared" si="1581"/>
        <v>0</v>
      </c>
      <c r="DJ200" s="136">
        <f t="shared" si="1582"/>
        <v>0</v>
      </c>
      <c r="DK200" s="136">
        <f t="shared" si="1583"/>
        <v>1.67142178807469</v>
      </c>
      <c r="DL200" s="110">
        <f t="shared" si="1584"/>
        <v>1.6657993231786119</v>
      </c>
      <c r="DM200" s="136">
        <f t="shared" si="1585"/>
        <v>1.9943100880436639</v>
      </c>
      <c r="DO200" s="110" t="str">
        <f t="shared" si="344"/>
        <v>-</v>
      </c>
      <c r="DP200" s="110" t="str">
        <f t="shared" si="1401"/>
        <v>-</v>
      </c>
      <c r="DR200" s="110" t="str">
        <f t="shared" si="1402"/>
        <v>-</v>
      </c>
      <c r="DS200" s="125" t="str">
        <f t="shared" si="1513"/>
        <v>-</v>
      </c>
      <c r="DT200" s="110" t="str">
        <f t="shared" si="1403"/>
        <v>-</v>
      </c>
      <c r="DU200" s="125" t="str">
        <f t="shared" si="1514"/>
        <v>-</v>
      </c>
      <c r="DV200" s="110">
        <f t="shared" si="214"/>
        <v>2.7637221322167895</v>
      </c>
      <c r="DW200" s="110">
        <f t="shared" si="215"/>
        <v>1.9745464681619453</v>
      </c>
      <c r="DX200" s="110">
        <f t="shared" si="1588"/>
        <v>1.51284121476291</v>
      </c>
      <c r="DZ200" s="110" t="str">
        <f t="shared" si="1404"/>
        <v>-</v>
      </c>
      <c r="EB200" s="110">
        <f t="shared" si="217"/>
        <v>2.7637221322167895</v>
      </c>
      <c r="EC200" s="110">
        <f t="shared" si="1590"/>
        <v>1.9746673863959516</v>
      </c>
      <c r="ED200" s="110">
        <f t="shared" si="1591"/>
        <v>1.7366027764452827</v>
      </c>
      <c r="EE200" s="110" t="str">
        <f t="shared" si="1405"/>
        <v>-</v>
      </c>
      <c r="EG200" s="110">
        <f t="shared" si="1592"/>
        <v>4.1810727477699876</v>
      </c>
      <c r="EH200" s="110">
        <f t="shared" si="219"/>
        <v>2.7637221322167895</v>
      </c>
      <c r="EI200" s="110">
        <f t="shared" si="1594"/>
        <v>1.51284121476291</v>
      </c>
      <c r="EJ200" s="110">
        <f t="shared" si="1595"/>
        <v>1.6657993231786119</v>
      </c>
      <c r="EK200" s="110" t="str">
        <f>IF(SeilBeregnet=0,"-",EK$7*(EK$4*EM:EM+EK$6)*EP:EP*PropF+ErfaringsF+Dyp_F)</f>
        <v>-</v>
      </c>
      <c r="EM200" s="110">
        <f>IF(SeilBeregnet=0,EM199,(EN:EN*EO:EO)^EM$3)</f>
        <v>1.6344624806154615</v>
      </c>
      <c r="EN200" s="110">
        <f t="shared" si="220"/>
        <v>2.7637221322167895</v>
      </c>
      <c r="EO200" s="110">
        <f t="shared" si="1597"/>
        <v>0.96661946199231552</v>
      </c>
      <c r="EP200" s="110">
        <f t="shared" si="1598"/>
        <v>1.6833672989163568</v>
      </c>
      <c r="EQ200" s="110" t="str">
        <f>IF(SeilBeregnet=0,"-",EQ$7*(ES:ES+EQ$6)*EV:EV*PropF+ErfaringsF+Dyp_F)</f>
        <v>-</v>
      </c>
      <c r="ES200" s="110">
        <f>(ET:ET*EU:EU)^ES$3</f>
        <v>1.6345101890686702</v>
      </c>
      <c r="ET200" s="110">
        <f t="shared" si="221"/>
        <v>2.7638834755745267</v>
      </c>
      <c r="EU200" s="110">
        <f t="shared" si="1600"/>
        <v>0.96661946199231552</v>
      </c>
      <c r="EV200" s="110">
        <f t="shared" si="1601"/>
        <v>1.6833672989163568</v>
      </c>
      <c r="EW200" s="110" t="str">
        <f>IF(SeilBeregnet=0,"-",EW$7*(EY:EY+EW$6)*FB:FB*PropF+ErfaringsF+Dyp_F)</f>
        <v>-</v>
      </c>
      <c r="EX200" s="144" t="str">
        <f t="shared" si="1246"/>
        <v>-</v>
      </c>
      <c r="EY200" s="110">
        <f>(EZ:EZ*FA:FA)^EY$3</f>
        <v>2.5824433264436046</v>
      </c>
      <c r="EZ200" s="136">
        <f t="shared" si="1602"/>
        <v>2.7638834755745267</v>
      </c>
      <c r="FA200" s="136">
        <f t="shared" si="1603"/>
        <v>0.93435318430231351</v>
      </c>
      <c r="FB200" s="110">
        <f t="shared" si="1604"/>
        <v>0.94662699765472258</v>
      </c>
      <c r="FC200" s="110" t="str">
        <f>IF(SeilBeregnet=0,"-",FC$7*(FE:FE+FC$6)*FI:FI*PropF+ErfaringsF+Dyp_F)</f>
        <v>-</v>
      </c>
      <c r="FD200" s="144" t="str">
        <f t="shared" si="1247"/>
        <v>-</v>
      </c>
      <c r="FE200" s="110">
        <f>(FF:FF+FG:FG+FH:FH)^FE$3+FE$7</f>
        <v>4.6218995435394143</v>
      </c>
      <c r="FF200" s="136">
        <f t="shared" si="1605"/>
        <v>2.7638834755745267</v>
      </c>
      <c r="FG200" s="136">
        <f t="shared" si="1606"/>
        <v>0.6865942798901975</v>
      </c>
      <c r="FH200" s="136">
        <f t="shared" si="1607"/>
        <v>1.67142178807469</v>
      </c>
      <c r="FI200" s="110">
        <f t="shared" si="1608"/>
        <v>1.6657993231786119</v>
      </c>
      <c r="FJ200" s="110" t="str">
        <f>IF(SeilBeregnet=0,"-",FJ$7*(FL:FL+FJ$6)*FO:FO*PropF+ErfaringsF+Dyp_F)</f>
        <v>-</v>
      </c>
      <c r="FK200" s="144" t="str">
        <f t="shared" si="1248"/>
        <v>-</v>
      </c>
      <c r="FL200" s="110">
        <f>(FM:FM*FN:FN)^FL$3</f>
        <v>4.6196150607748638</v>
      </c>
      <c r="FM200" s="136">
        <f t="shared" si="1609"/>
        <v>2.7638834755745267</v>
      </c>
      <c r="FN200" s="136">
        <f t="shared" si="1610"/>
        <v>1.67142178807469</v>
      </c>
      <c r="FO200" s="110">
        <f t="shared" si="1611"/>
        <v>1.6657993231786119</v>
      </c>
      <c r="FQ200">
        <v>0.95</v>
      </c>
      <c r="FR200" s="64" t="str">
        <f t="shared" si="1506"/>
        <v>-</v>
      </c>
      <c r="FS200" s="479"/>
      <c r="FT200" s="18"/>
      <c r="FU200" s="481"/>
      <c r="FV200" s="504"/>
      <c r="FW200" s="18"/>
      <c r="FX200" s="18"/>
      <c r="FY200" s="18"/>
      <c r="FZ200" s="18"/>
      <c r="GB200" s="18"/>
      <c r="GC200" s="481"/>
      <c r="GD200" s="8"/>
      <c r="GE200" s="8"/>
      <c r="GF200" s="8"/>
      <c r="GG200" s="8"/>
      <c r="GI200" s="18"/>
      <c r="GJ200" s="18"/>
      <c r="GK200" s="18"/>
      <c r="GL200" s="18"/>
      <c r="GM200" s="18"/>
      <c r="GN200" s="18"/>
      <c r="GO200" s="18"/>
      <c r="GP200" s="18"/>
    </row>
    <row r="201" spans="1:198" ht="15.6" x14ac:dyDescent="0.3">
      <c r="A201" s="62" t="s">
        <v>33</v>
      </c>
      <c r="B201" s="223"/>
      <c r="C201" s="63" t="str">
        <f t="shared" si="1643"/>
        <v>Gaffel</v>
      </c>
      <c r="D201" s="63"/>
      <c r="E201" s="63"/>
      <c r="F201" s="63"/>
      <c r="G201" s="56"/>
      <c r="H201" s="209" t="e">
        <f>TBFavrundet</f>
        <v>#VALUE!</v>
      </c>
      <c r="I201" s="65">
        <f>COUNTA(O201:AD201)</f>
        <v>0</v>
      </c>
      <c r="J201" s="228">
        <f>SUM(O201:AD201)</f>
        <v>0</v>
      </c>
      <c r="K201" s="119" t="e">
        <f>Seilareal/Depl^0.667/K$7</f>
        <v>#DIV/0!</v>
      </c>
      <c r="L201" s="119" t="e">
        <f>Seilareal/Lwl/Lwl/L$7</f>
        <v>#DIV/0!</v>
      </c>
      <c r="M201" s="95" t="e">
        <f>RiggF</f>
        <v>#DIV/0!</v>
      </c>
      <c r="N201" s="265" t="str">
        <f>StHfaktor</f>
        <v>-</v>
      </c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260">
        <f t="shared" ref="AE201" si="1649">AE200</f>
        <v>0</v>
      </c>
      <c r="AF201" s="375">
        <f t="shared" si="1636"/>
        <v>0</v>
      </c>
      <c r="AG201" s="377"/>
      <c r="AH201" s="375">
        <f t="shared" si="1636"/>
        <v>0</v>
      </c>
      <c r="AI201" s="377"/>
      <c r="AJ201" s="295" t="str">
        <f t="shared" ref="AJ201" si="1650" xml:space="preserve"> AJ200</f>
        <v>Lystb</v>
      </c>
      <c r="AK201" s="47">
        <f>VLOOKUP(AJ201,Skrogform!$1:$1048576,3,FALSE)</f>
        <v>0.98</v>
      </c>
      <c r="AL201" s="66">
        <f t="shared" ref="AL201:AT201" si="1651">AL200</f>
        <v>0</v>
      </c>
      <c r="AM201" s="66">
        <f t="shared" si="1651"/>
        <v>0</v>
      </c>
      <c r="AN201" s="66">
        <f t="shared" si="1651"/>
        <v>0</v>
      </c>
      <c r="AO201" s="66">
        <f t="shared" si="1651"/>
        <v>0</v>
      </c>
      <c r="AP201" s="66">
        <f t="shared" si="1651"/>
        <v>0</v>
      </c>
      <c r="AQ201" s="66">
        <f t="shared" si="1651"/>
        <v>0</v>
      </c>
      <c r="AR201" s="66">
        <f t="shared" si="1651"/>
        <v>0</v>
      </c>
      <c r="AS201" s="284">
        <f t="shared" si="1651"/>
        <v>0</v>
      </c>
      <c r="AT201" s="284">
        <f t="shared" si="1651"/>
        <v>0</v>
      </c>
      <c r="AU201" s="284">
        <f t="shared" ref="AU201:AV201" si="1652">AU200</f>
        <v>0</v>
      </c>
      <c r="AV201" s="284">
        <f t="shared" si="1652"/>
        <v>0</v>
      </c>
      <c r="AW201" s="284"/>
      <c r="AX201" s="284">
        <f>AX200</f>
        <v>0</v>
      </c>
      <c r="AY201" s="68"/>
      <c r="AZ201" s="68"/>
      <c r="BA201" s="289"/>
      <c r="BB201" s="68"/>
      <c r="BC201" s="179"/>
      <c r="BD201" s="68"/>
      <c r="BE201" s="68"/>
      <c r="BF201" s="67">
        <f t="shared" ref="BF201:BH201" si="1653" xml:space="preserve"> BF200</f>
        <v>0</v>
      </c>
      <c r="BG201" s="295">
        <f t="shared" si="1653"/>
        <v>0</v>
      </c>
      <c r="BH201" s="295">
        <f t="shared" si="1653"/>
        <v>0</v>
      </c>
      <c r="BI201" s="47">
        <f t="shared" si="1370"/>
        <v>1</v>
      </c>
      <c r="BJ201" s="61"/>
      <c r="BK201" s="61"/>
      <c r="BM201" s="51">
        <f t="shared" si="1641"/>
        <v>0</v>
      </c>
      <c r="BN201" s="51">
        <f t="shared" si="1641"/>
        <v>0</v>
      </c>
      <c r="BO201" s="51">
        <f t="shared" si="1641"/>
        <v>0</v>
      </c>
      <c r="BP201" s="51">
        <f t="shared" si="1641"/>
        <v>0</v>
      </c>
      <c r="BQ201" s="51">
        <f t="shared" si="1641"/>
        <v>0</v>
      </c>
      <c r="BR201" s="51">
        <f t="shared" si="1641"/>
        <v>0</v>
      </c>
      <c r="BS201" s="52">
        <f>IF(COUNT(P201:T201)&gt;1,MINA(P201:T201)*BS$9,0)</f>
        <v>0</v>
      </c>
      <c r="BT201" s="88">
        <f t="shared" si="1642"/>
        <v>0</v>
      </c>
      <c r="BU201" s="88">
        <f t="shared" si="1642"/>
        <v>0</v>
      </c>
      <c r="BV201" s="88">
        <f t="shared" si="1642"/>
        <v>0</v>
      </c>
      <c r="BW201" s="88">
        <f t="shared" si="1642"/>
        <v>0</v>
      </c>
      <c r="BX201" s="88">
        <f t="shared" si="1642"/>
        <v>0</v>
      </c>
      <c r="BY201" s="88">
        <f t="shared" si="1642"/>
        <v>0</v>
      </c>
      <c r="BZ201" s="88">
        <f t="shared" si="1642"/>
        <v>0</v>
      </c>
      <c r="CA201" s="88">
        <f t="shared" si="1642"/>
        <v>0</v>
      </c>
      <c r="CB201" s="88">
        <f t="shared" si="1642"/>
        <v>0</v>
      </c>
      <c r="CC201" s="88">
        <f t="shared" si="1642"/>
        <v>0</v>
      </c>
      <c r="CD201" s="103">
        <f>SUM(BM201:CC201)</f>
        <v>0</v>
      </c>
      <c r="CE201" s="52"/>
      <c r="CF201" s="107">
        <f>J201</f>
        <v>0</v>
      </c>
      <c r="CG201" s="104" t="e">
        <f>CD201/CF201</f>
        <v>#DIV/0!</v>
      </c>
      <c r="CH201" s="53" t="e">
        <f>Seilareal/Lwl/Lwl</f>
        <v>#DIV/0!</v>
      </c>
      <c r="CI201" s="119" t="e">
        <f>Seilareal/Depl^0.667/K$7</f>
        <v>#DIV/0!</v>
      </c>
      <c r="CJ201" s="53" t="e">
        <f>Seilareal/Lwl/Lwl/SApRS1</f>
        <v>#DIV/0!</v>
      </c>
      <c r="CK201" s="209"/>
      <c r="CL201" s="209" t="e">
        <f>(ROUND(TBF/CL$6,3)*CL$6)*CL$4</f>
        <v>#VALUE!</v>
      </c>
      <c r="CM201" s="110" t="str">
        <f t="shared" si="1189"/>
        <v>-</v>
      </c>
      <c r="CN201" s="64" t="str">
        <f>IF(SeilBeregnet=0,"-",(SeilBeregnet)^(1/2)*StHfaktor/(Depl+DeplTillegg/1000+Vann/1000+Diesel/1000*0.84)^(1/3))</f>
        <v>-</v>
      </c>
      <c r="CO201" s="64" t="str">
        <f t="shared" si="1140"/>
        <v>-</v>
      </c>
      <c r="CP201" s="64" t="str">
        <f t="shared" si="1141"/>
        <v>-</v>
      </c>
      <c r="CQ201" s="110" t="str">
        <f t="shared" si="1142"/>
        <v>-</v>
      </c>
      <c r="CR201" s="172" t="str">
        <f t="shared" si="1563"/>
        <v>-</v>
      </c>
      <c r="CS201" s="162"/>
      <c r="CT201" s="172" t="str">
        <f t="shared" si="1373"/>
        <v>-</v>
      </c>
      <c r="CU201" s="164"/>
      <c r="CV201" s="195" t="s">
        <v>145</v>
      </c>
      <c r="CW201" s="64" t="s">
        <v>111</v>
      </c>
      <c r="CX201" s="64" t="s">
        <v>111</v>
      </c>
      <c r="CY201" s="64" t="s">
        <v>111</v>
      </c>
      <c r="CZ201" s="154" t="s">
        <v>111</v>
      </c>
      <c r="DA201" s="64" t="str">
        <f t="shared" si="1397"/>
        <v>-</v>
      </c>
      <c r="DB201" s="49">
        <f t="shared" si="1398"/>
        <v>0</v>
      </c>
      <c r="DC201" s="50">
        <f t="shared" si="1399"/>
        <v>0</v>
      </c>
      <c r="DE201" s="110" t="str">
        <f>IF(SeilBeregnet=0,"-",DE$7*(DG:DG+DE$6)*DL:DL*PropF+ErfaringsF+Dyp_F)</f>
        <v>-</v>
      </c>
      <c r="DF201" s="144" t="str">
        <f t="shared" si="1512"/>
        <v>-</v>
      </c>
      <c r="DG201" s="110">
        <f t="shared" si="1400"/>
        <v>4.4353052636492167</v>
      </c>
      <c r="DH201" s="136">
        <f t="shared" si="1580"/>
        <v>2.7638834755745267</v>
      </c>
      <c r="DI201" s="136">
        <f t="shared" si="1581"/>
        <v>0</v>
      </c>
      <c r="DJ201" s="136">
        <f t="shared" si="1582"/>
        <v>0</v>
      </c>
      <c r="DK201" s="136">
        <f t="shared" si="1583"/>
        <v>1.67142178807469</v>
      </c>
      <c r="DL201" s="110">
        <f t="shared" si="1584"/>
        <v>1.6657993231786119</v>
      </c>
      <c r="DM201" s="136">
        <f t="shared" si="1585"/>
        <v>1.9943100880436639</v>
      </c>
      <c r="DO201" s="110" t="str">
        <f t="shared" si="344"/>
        <v>-</v>
      </c>
      <c r="DP201" s="110" t="str">
        <f t="shared" si="1401"/>
        <v>-</v>
      </c>
      <c r="DR201" s="110" t="str">
        <f t="shared" si="1402"/>
        <v>-</v>
      </c>
      <c r="DS201" s="125" t="str">
        <f t="shared" si="1513"/>
        <v>-</v>
      </c>
      <c r="DT201" s="110" t="str">
        <f t="shared" si="1403"/>
        <v>-</v>
      </c>
      <c r="DU201" s="125" t="str">
        <f t="shared" si="1514"/>
        <v>-</v>
      </c>
      <c r="DV201" s="110">
        <f t="shared" si="214"/>
        <v>2.7637221322167895</v>
      </c>
      <c r="DW201" s="110">
        <f t="shared" si="215"/>
        <v>1.9745464681619453</v>
      </c>
      <c r="DX201" s="110">
        <f t="shared" si="1588"/>
        <v>1.51284121476291</v>
      </c>
      <c r="DZ201" s="110" t="str">
        <f t="shared" si="1404"/>
        <v>-</v>
      </c>
      <c r="EB201" s="110">
        <f t="shared" si="217"/>
        <v>2.7637221322167895</v>
      </c>
      <c r="EC201" s="110">
        <f t="shared" si="1590"/>
        <v>1.9746673863959516</v>
      </c>
      <c r="ED201" s="110">
        <f t="shared" si="1591"/>
        <v>1.7366027764452827</v>
      </c>
      <c r="EE201" s="110" t="str">
        <f t="shared" si="1405"/>
        <v>-</v>
      </c>
      <c r="EG201" s="110">
        <f t="shared" si="1592"/>
        <v>4.1810727477699876</v>
      </c>
      <c r="EH201" s="110">
        <f t="shared" si="219"/>
        <v>2.7637221322167895</v>
      </c>
      <c r="EI201" s="110">
        <f t="shared" si="1594"/>
        <v>1.51284121476291</v>
      </c>
      <c r="EJ201" s="110">
        <f t="shared" si="1595"/>
        <v>1.6657993231786119</v>
      </c>
      <c r="EK201" s="110" t="str">
        <f>IF(SeilBeregnet=0,"-",EK$7*(EK$4*EM:EM+EK$6)*EP:EP*PropF+ErfaringsF+Dyp_F)</f>
        <v>-</v>
      </c>
      <c r="EM201" s="110">
        <f>IF(SeilBeregnet=0,EM200,(EN:EN*EO:EO)^EM$3)</f>
        <v>1.6344624806154615</v>
      </c>
      <c r="EN201" s="110">
        <f t="shared" si="220"/>
        <v>2.7637221322167895</v>
      </c>
      <c r="EO201" s="110">
        <f t="shared" si="1597"/>
        <v>0.96661946199231552</v>
      </c>
      <c r="EP201" s="110">
        <f t="shared" si="1598"/>
        <v>1.6833672989163568</v>
      </c>
      <c r="EQ201" s="110" t="str">
        <f>IF(SeilBeregnet=0,"-",EQ$7*(ES:ES+EQ$6)*EV:EV*PropF+ErfaringsF+Dyp_F)</f>
        <v>-</v>
      </c>
      <c r="ES201" s="110">
        <f>(ET:ET*EU:EU)^ES$3</f>
        <v>1.6345101890686702</v>
      </c>
      <c r="ET201" s="110">
        <f t="shared" si="221"/>
        <v>2.7638834755745267</v>
      </c>
      <c r="EU201" s="110">
        <f t="shared" si="1600"/>
        <v>0.96661946199231552</v>
      </c>
      <c r="EV201" s="110">
        <f t="shared" si="1601"/>
        <v>1.6833672989163568</v>
      </c>
      <c r="EW201" s="110" t="str">
        <f>IF(SeilBeregnet=0,"-",EW$7*(EY:EY+EW$6)*FB:FB*PropF+ErfaringsF+Dyp_F)</f>
        <v>-</v>
      </c>
      <c r="EX201" s="144" t="str">
        <f t="shared" si="1246"/>
        <v>-</v>
      </c>
      <c r="EY201" s="110">
        <f>(EZ:EZ*FA:FA)^EY$3</f>
        <v>2.5824433264436046</v>
      </c>
      <c r="EZ201" s="136">
        <f t="shared" si="1602"/>
        <v>2.7638834755745267</v>
      </c>
      <c r="FA201" s="136">
        <f t="shared" si="1603"/>
        <v>0.93435318430231351</v>
      </c>
      <c r="FB201" s="110">
        <f t="shared" si="1604"/>
        <v>0.94662699765472258</v>
      </c>
      <c r="FC201" s="110" t="str">
        <f>IF(SeilBeregnet=0,"-",FC$7*(FE:FE+FC$6)*FI:FI*PropF+ErfaringsF+Dyp_F)</f>
        <v>-</v>
      </c>
      <c r="FD201" s="144" t="str">
        <f t="shared" si="1247"/>
        <v>-</v>
      </c>
      <c r="FE201" s="110">
        <f>(FF:FF+FG:FG+FH:FH)^FE$3+FE$7</f>
        <v>4.6218995435394143</v>
      </c>
      <c r="FF201" s="136">
        <f t="shared" si="1605"/>
        <v>2.7638834755745267</v>
      </c>
      <c r="FG201" s="136">
        <f t="shared" si="1606"/>
        <v>0.6865942798901975</v>
      </c>
      <c r="FH201" s="136">
        <f t="shared" si="1607"/>
        <v>1.67142178807469</v>
      </c>
      <c r="FI201" s="110">
        <f t="shared" si="1608"/>
        <v>1.6657993231786119</v>
      </c>
      <c r="FJ201" s="110" t="str">
        <f>IF(SeilBeregnet=0,"-",FJ$7*(FL:FL+FJ$6)*FO:FO*PropF+ErfaringsF+Dyp_F)</f>
        <v>-</v>
      </c>
      <c r="FK201" s="144" t="str">
        <f t="shared" si="1248"/>
        <v>-</v>
      </c>
      <c r="FL201" s="110">
        <f>(FM:FM*FN:FN)^FL$3</f>
        <v>4.6196150607748638</v>
      </c>
      <c r="FM201" s="136">
        <f t="shared" si="1609"/>
        <v>2.7638834755745267</v>
      </c>
      <c r="FN201" s="136">
        <f t="shared" si="1610"/>
        <v>1.67142178807469</v>
      </c>
      <c r="FO201" s="110">
        <f t="shared" si="1611"/>
        <v>1.6657993231786119</v>
      </c>
      <c r="FQ201">
        <v>0.95</v>
      </c>
      <c r="FR201" s="64" t="str">
        <f t="shared" si="1506"/>
        <v>-</v>
      </c>
      <c r="FS201" s="479"/>
      <c r="FT201" s="18"/>
      <c r="FU201" s="481"/>
      <c r="FV201" s="504"/>
      <c r="FW201" s="18"/>
      <c r="FX201" s="18"/>
      <c r="FY201" s="18"/>
      <c r="FZ201" s="18"/>
      <c r="GB201" s="18"/>
      <c r="GC201" s="481"/>
      <c r="GD201" s="8"/>
      <c r="GE201" s="8"/>
      <c r="GF201" s="8"/>
      <c r="GG201" s="8"/>
      <c r="GI201" s="18"/>
      <c r="GJ201" s="18"/>
      <c r="GK201" s="18"/>
      <c r="GL201" s="18"/>
      <c r="GM201" s="18"/>
      <c r="GN201" s="18"/>
      <c r="GO201" s="18"/>
      <c r="GP201" s="18"/>
    </row>
    <row r="202" spans="1:198" ht="15.6" x14ac:dyDescent="0.3">
      <c r="A202" s="62" t="str">
        <f>A$3</f>
        <v>TBF 2023-55h</v>
      </c>
      <c r="B202" s="223"/>
      <c r="C202" s="63" t="str">
        <f t="shared" si="1643"/>
        <v>Gaffel</v>
      </c>
      <c r="D202" s="63"/>
      <c r="E202" s="63"/>
      <c r="F202" s="63"/>
      <c r="G202" s="56"/>
      <c r="H202" s="209" t="e">
        <f>TBFavrundet</f>
        <v>#VALUE!</v>
      </c>
      <c r="I202" s="65">
        <f>COUNTA(O202:AD202)</f>
        <v>0</v>
      </c>
      <c r="J202" s="228">
        <f>SUM(O202:AD202)</f>
        <v>0</v>
      </c>
      <c r="K202" s="119" t="e">
        <f>Seilareal/Depl^0.667/K$7</f>
        <v>#DIV/0!</v>
      </c>
      <c r="L202" s="119" t="e">
        <f>Seilareal/Lwl/Lwl/L$7</f>
        <v>#DIV/0!</v>
      </c>
      <c r="M202" s="95" t="e">
        <f>RiggF</f>
        <v>#DIV/0!</v>
      </c>
      <c r="N202" s="265" t="str">
        <f>StHfaktor</f>
        <v>-</v>
      </c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260">
        <f t="shared" ref="AE202" si="1654">AE201</f>
        <v>0</v>
      </c>
      <c r="AF202" s="375">
        <f t="shared" si="1636"/>
        <v>0</v>
      </c>
      <c r="AG202" s="377"/>
      <c r="AH202" s="375">
        <f t="shared" si="1636"/>
        <v>0</v>
      </c>
      <c r="AI202" s="377"/>
      <c r="AJ202" s="295" t="str">
        <f t="shared" ref="AJ202" si="1655" xml:space="preserve"> AJ201</f>
        <v>Lystb</v>
      </c>
      <c r="AK202" s="47">
        <f>VLOOKUP(AJ202,Skrogform!$1:$1048576,3,FALSE)</f>
        <v>0.98</v>
      </c>
      <c r="AL202" s="66">
        <f t="shared" ref="AL202:AT202" si="1656">AL201</f>
        <v>0</v>
      </c>
      <c r="AM202" s="66">
        <f t="shared" si="1656"/>
        <v>0</v>
      </c>
      <c r="AN202" s="66">
        <f t="shared" si="1656"/>
        <v>0</v>
      </c>
      <c r="AO202" s="66">
        <f t="shared" si="1656"/>
        <v>0</v>
      </c>
      <c r="AP202" s="66">
        <f t="shared" si="1656"/>
        <v>0</v>
      </c>
      <c r="AQ202" s="66">
        <f t="shared" si="1656"/>
        <v>0</v>
      </c>
      <c r="AR202" s="66">
        <f t="shared" si="1656"/>
        <v>0</v>
      </c>
      <c r="AS202" s="284">
        <f t="shared" si="1656"/>
        <v>0</v>
      </c>
      <c r="AT202" s="284">
        <f t="shared" si="1656"/>
        <v>0</v>
      </c>
      <c r="AU202" s="284">
        <f t="shared" ref="AU202:AV202" si="1657">AU201</f>
        <v>0</v>
      </c>
      <c r="AV202" s="284">
        <f t="shared" si="1657"/>
        <v>0</v>
      </c>
      <c r="AW202" s="284"/>
      <c r="AX202" s="284">
        <f>AX201</f>
        <v>0</v>
      </c>
      <c r="AY202" s="68"/>
      <c r="AZ202" s="68"/>
      <c r="BA202" s="289"/>
      <c r="BB202" s="68"/>
      <c r="BC202" s="179"/>
      <c r="BD202" s="68"/>
      <c r="BE202" s="68"/>
      <c r="BF202" s="67">
        <f t="shared" ref="BF202:BH202" si="1658" xml:space="preserve"> BF201</f>
        <v>0</v>
      </c>
      <c r="BG202" s="295">
        <f t="shared" si="1658"/>
        <v>0</v>
      </c>
      <c r="BH202" s="295">
        <f t="shared" si="1658"/>
        <v>0</v>
      </c>
      <c r="BI202" s="47">
        <f t="shared" ref="BI202" si="1659">IF((BF202="Fast"),(1.006248-(0.06415*((BH202/100*SQRT(BG202))/POWER(AP202,(1/3))))),1)</f>
        <v>1</v>
      </c>
      <c r="BJ202" s="61"/>
      <c r="BK202" s="61"/>
      <c r="BM202" s="51">
        <f t="shared" si="1641"/>
        <v>0</v>
      </c>
      <c r="BN202" s="51">
        <f t="shared" si="1641"/>
        <v>0</v>
      </c>
      <c r="BO202" s="51">
        <f t="shared" si="1641"/>
        <v>0</v>
      </c>
      <c r="BP202" s="51">
        <f t="shared" si="1641"/>
        <v>0</v>
      </c>
      <c r="BQ202" s="51">
        <f t="shared" si="1641"/>
        <v>0</v>
      </c>
      <c r="BR202" s="51">
        <f t="shared" si="1641"/>
        <v>0</v>
      </c>
      <c r="BS202" s="52">
        <f>IF(COUNT(P202:T202)&gt;1,MINA(P202:T202)*BS$9,0)</f>
        <v>0</v>
      </c>
      <c r="BT202" s="88">
        <f t="shared" si="1642"/>
        <v>0</v>
      </c>
      <c r="BU202" s="88">
        <f t="shared" si="1642"/>
        <v>0</v>
      </c>
      <c r="BV202" s="88">
        <f t="shared" si="1642"/>
        <v>0</v>
      </c>
      <c r="BW202" s="88">
        <f t="shared" si="1642"/>
        <v>0</v>
      </c>
      <c r="BX202" s="88">
        <f t="shared" si="1642"/>
        <v>0</v>
      </c>
      <c r="BY202" s="88">
        <f t="shared" si="1642"/>
        <v>0</v>
      </c>
      <c r="BZ202" s="88">
        <f t="shared" si="1642"/>
        <v>0</v>
      </c>
      <c r="CA202" s="88">
        <f t="shared" si="1642"/>
        <v>0</v>
      </c>
      <c r="CB202" s="88">
        <f t="shared" si="1642"/>
        <v>0</v>
      </c>
      <c r="CC202" s="88">
        <f t="shared" si="1642"/>
        <v>0</v>
      </c>
      <c r="CD202" s="103">
        <f>SUM(BM202:CC202)</f>
        <v>0</v>
      </c>
      <c r="CE202" s="52"/>
      <c r="CF202" s="107">
        <f>J202</f>
        <v>0</v>
      </c>
      <c r="CG202" s="104" t="e">
        <f>CD202/CF202</f>
        <v>#DIV/0!</v>
      </c>
      <c r="CH202" s="53" t="e">
        <f>Seilareal/Lwl/Lwl</f>
        <v>#DIV/0!</v>
      </c>
      <c r="CI202" s="119" t="e">
        <f>Seilareal/Depl^0.667/K$7</f>
        <v>#DIV/0!</v>
      </c>
      <c r="CJ202" s="53" t="e">
        <f>Seilareal/Lwl/Lwl/SApRS1</f>
        <v>#DIV/0!</v>
      </c>
      <c r="CK202" s="209"/>
      <c r="CL202" s="209" t="e">
        <f>(ROUND(TBF/CL$6,3)*CL$6)*CL$4</f>
        <v>#VALUE!</v>
      </c>
      <c r="CM202" s="110" t="str">
        <f t="shared" si="1189"/>
        <v>-</v>
      </c>
      <c r="CN202" s="64" t="str">
        <f>IF(SeilBeregnet=0,"-",(SeilBeregnet)^(1/2)*StHfaktor/(Depl+DeplTillegg/1000+Vann/1000+Diesel/1000*0.84)^(1/3))</f>
        <v>-</v>
      </c>
      <c r="CO202" s="64" t="str">
        <f t="shared" si="1140"/>
        <v>-</v>
      </c>
      <c r="CP202" s="64" t="str">
        <f t="shared" si="1141"/>
        <v>-</v>
      </c>
      <c r="CQ202" s="110" t="str">
        <f t="shared" si="1142"/>
        <v>-</v>
      </c>
      <c r="CR202" s="172" t="str">
        <f t="shared" si="1563"/>
        <v>-</v>
      </c>
      <c r="CS202" s="162"/>
      <c r="CT202" s="172" t="str">
        <f t="shared" ref="CT202:CT236" si="1660">IF(CU202=0,"-",IF(CL202="TBF","-",CT$7*CU202))</f>
        <v>-</v>
      </c>
      <c r="CU202" s="164"/>
      <c r="CV202" s="195" t="s">
        <v>145</v>
      </c>
      <c r="CW202" s="64" t="s">
        <v>111</v>
      </c>
      <c r="CX202" s="64" t="s">
        <v>111</v>
      </c>
      <c r="CY202" s="64" t="s">
        <v>111</v>
      </c>
      <c r="CZ202" s="154" t="s">
        <v>111</v>
      </c>
      <c r="DA202" s="64" t="str">
        <f t="shared" si="1397"/>
        <v>-</v>
      </c>
      <c r="DB202" s="49">
        <f t="shared" si="1398"/>
        <v>0</v>
      </c>
      <c r="DC202" s="50">
        <f t="shared" si="1399"/>
        <v>0</v>
      </c>
      <c r="DE202" s="110" t="str">
        <f>IF(SeilBeregnet=0,"-",DE$7*(DG:DG+DE$6)*DL:DL*PropF+ErfaringsF+Dyp_F)</f>
        <v>-</v>
      </c>
      <c r="DF202" s="144" t="str">
        <f t="shared" si="1512"/>
        <v>-</v>
      </c>
      <c r="DG202" s="110">
        <f t="shared" si="1400"/>
        <v>4.4353052636492167</v>
      </c>
      <c r="DH202" s="136">
        <f t="shared" si="1580"/>
        <v>2.7638834755745267</v>
      </c>
      <c r="DI202" s="136">
        <f t="shared" si="1581"/>
        <v>0</v>
      </c>
      <c r="DJ202" s="136">
        <f t="shared" si="1582"/>
        <v>0</v>
      </c>
      <c r="DK202" s="136">
        <f t="shared" si="1583"/>
        <v>1.67142178807469</v>
      </c>
      <c r="DL202" s="110">
        <f t="shared" si="1584"/>
        <v>1.6657993231786119</v>
      </c>
      <c r="DM202" s="136">
        <f t="shared" si="1585"/>
        <v>1.9943100880436639</v>
      </c>
      <c r="DO202" s="110" t="str">
        <f t="shared" si="344"/>
        <v>-</v>
      </c>
      <c r="DP202" s="110" t="str">
        <f t="shared" si="1401"/>
        <v>-</v>
      </c>
      <c r="DR202" s="110" t="str">
        <f t="shared" si="1402"/>
        <v>-</v>
      </c>
      <c r="DS202" s="125" t="str">
        <f t="shared" si="1513"/>
        <v>-</v>
      </c>
      <c r="DT202" s="110" t="str">
        <f t="shared" si="1403"/>
        <v>-</v>
      </c>
      <c r="DU202" s="125" t="str">
        <f t="shared" si="1514"/>
        <v>-</v>
      </c>
      <c r="DV202" s="110">
        <f t="shared" si="214"/>
        <v>2.7637221322167895</v>
      </c>
      <c r="DW202" s="110">
        <f t="shared" si="215"/>
        <v>1.9745464681619453</v>
      </c>
      <c r="DX202" s="110">
        <f t="shared" si="1588"/>
        <v>1.51284121476291</v>
      </c>
      <c r="DZ202" s="110" t="str">
        <f t="shared" si="1404"/>
        <v>-</v>
      </c>
      <c r="EB202" s="110">
        <f t="shared" si="217"/>
        <v>2.7637221322167895</v>
      </c>
      <c r="EC202" s="110">
        <f t="shared" si="1590"/>
        <v>1.9746673863959516</v>
      </c>
      <c r="ED202" s="110">
        <f t="shared" si="1591"/>
        <v>1.7366027764452827</v>
      </c>
      <c r="EE202" s="110" t="str">
        <f t="shared" si="1405"/>
        <v>-</v>
      </c>
      <c r="EG202" s="110">
        <f t="shared" si="1592"/>
        <v>4.1810727477699876</v>
      </c>
      <c r="EH202" s="110">
        <f t="shared" si="219"/>
        <v>2.7637221322167895</v>
      </c>
      <c r="EI202" s="110">
        <f t="shared" si="1594"/>
        <v>1.51284121476291</v>
      </c>
      <c r="EJ202" s="110">
        <f t="shared" si="1595"/>
        <v>1.6657993231786119</v>
      </c>
      <c r="EK202" s="110" t="str">
        <f>IF(SeilBeregnet=0,"-",EK$7*(EK$4*EM:EM+EK$6)*EP:EP*PropF+ErfaringsF+Dyp_F)</f>
        <v>-</v>
      </c>
      <c r="EM202" s="110">
        <f>IF(SeilBeregnet=0,EM201,(EN:EN*EO:EO)^EM$3)</f>
        <v>1.6344624806154615</v>
      </c>
      <c r="EN202" s="110">
        <f t="shared" si="220"/>
        <v>2.7637221322167895</v>
      </c>
      <c r="EO202" s="110">
        <f t="shared" si="1597"/>
        <v>0.96661946199231552</v>
      </c>
      <c r="EP202" s="110">
        <f t="shared" si="1598"/>
        <v>1.6833672989163568</v>
      </c>
      <c r="EQ202" s="110" t="str">
        <f>IF(SeilBeregnet=0,"-",EQ$7*(ES:ES+EQ$6)*EV:EV*PropF+ErfaringsF+Dyp_F)</f>
        <v>-</v>
      </c>
      <c r="ES202" s="110">
        <f>(ET:ET*EU:EU)^ES$3</f>
        <v>1.6345101890686702</v>
      </c>
      <c r="ET202" s="110">
        <f t="shared" si="221"/>
        <v>2.7638834755745267</v>
      </c>
      <c r="EU202" s="110">
        <f t="shared" si="1600"/>
        <v>0.96661946199231552</v>
      </c>
      <c r="EV202" s="110">
        <f t="shared" si="1601"/>
        <v>1.6833672989163568</v>
      </c>
      <c r="EW202" s="110" t="str">
        <f>IF(SeilBeregnet=0,"-",EW$7*(EY:EY+EW$6)*FB:FB*PropF+ErfaringsF+Dyp_F)</f>
        <v>-</v>
      </c>
      <c r="EX202" s="144" t="str">
        <f t="shared" si="1246"/>
        <v>-</v>
      </c>
      <c r="EY202" s="110">
        <f>(EZ:EZ*FA:FA)^EY$3</f>
        <v>2.5824433264436046</v>
      </c>
      <c r="EZ202" s="136">
        <f t="shared" si="1602"/>
        <v>2.7638834755745267</v>
      </c>
      <c r="FA202" s="136">
        <f t="shared" si="1603"/>
        <v>0.93435318430231351</v>
      </c>
      <c r="FB202" s="110">
        <f t="shared" si="1604"/>
        <v>0.94662699765472258</v>
      </c>
      <c r="FC202" s="110" t="str">
        <f>IF(SeilBeregnet=0,"-",FC$7*(FE:FE+FC$6)*FI:FI*PropF+ErfaringsF+Dyp_F)</f>
        <v>-</v>
      </c>
      <c r="FD202" s="144" t="str">
        <f t="shared" si="1247"/>
        <v>-</v>
      </c>
      <c r="FE202" s="110">
        <f>(FF:FF+FG:FG+FH:FH)^FE$3+FE$7</f>
        <v>4.6218995435394143</v>
      </c>
      <c r="FF202" s="136">
        <f t="shared" si="1605"/>
        <v>2.7638834755745267</v>
      </c>
      <c r="FG202" s="136">
        <f t="shared" si="1606"/>
        <v>0.6865942798901975</v>
      </c>
      <c r="FH202" s="136">
        <f t="shared" si="1607"/>
        <v>1.67142178807469</v>
      </c>
      <c r="FI202" s="110">
        <f t="shared" si="1608"/>
        <v>1.6657993231786119</v>
      </c>
      <c r="FJ202" s="110" t="str">
        <f>IF(SeilBeregnet=0,"-",FJ$7*(FL:FL+FJ$6)*FO:FO*PropF+ErfaringsF+Dyp_F)</f>
        <v>-</v>
      </c>
      <c r="FK202" s="144" t="str">
        <f t="shared" si="1248"/>
        <v>-</v>
      </c>
      <c r="FL202" s="110">
        <f>(FM:FM*FN:FN)^FL$3</f>
        <v>4.6196150607748638</v>
      </c>
      <c r="FM202" s="136">
        <f t="shared" si="1609"/>
        <v>2.7638834755745267</v>
      </c>
      <c r="FN202" s="136">
        <f t="shared" si="1610"/>
        <v>1.67142178807469</v>
      </c>
      <c r="FO202" s="110">
        <f t="shared" si="1611"/>
        <v>1.6657993231786119</v>
      </c>
      <c r="FQ202">
        <v>0.95</v>
      </c>
      <c r="FR202" s="64" t="str">
        <f t="shared" si="1506"/>
        <v>-</v>
      </c>
      <c r="FS202" s="479"/>
      <c r="FT202" s="18"/>
      <c r="FU202" s="481"/>
      <c r="FV202" s="504"/>
      <c r="FW202" s="18"/>
      <c r="FX202" s="18"/>
      <c r="FY202" s="18"/>
      <c r="FZ202" s="18"/>
      <c r="GB202" s="18"/>
      <c r="GC202" s="481"/>
      <c r="GD202" s="8"/>
      <c r="GE202" s="8"/>
      <c r="GF202" s="8"/>
      <c r="GG202" s="8"/>
      <c r="GI202" s="18"/>
      <c r="GJ202" s="18"/>
      <c r="GK202" s="18"/>
      <c r="GL202" s="18"/>
      <c r="GM202" s="18"/>
      <c r="GN202" s="18"/>
      <c r="GO202" s="18"/>
      <c r="GP202" s="18"/>
    </row>
    <row r="203" spans="1:198" ht="15.6" x14ac:dyDescent="0.3">
      <c r="A203" s="62"/>
      <c r="B203" s="223"/>
      <c r="G203" s="41"/>
      <c r="H203" s="209"/>
      <c r="I203" s="112"/>
      <c r="J203" s="229"/>
      <c r="K203" s="119"/>
      <c r="L203" s="119"/>
      <c r="M203" s="95"/>
      <c r="N203" s="265"/>
      <c r="O203" s="150"/>
      <c r="P203" s="150"/>
      <c r="Q203" s="150"/>
      <c r="R203" s="151"/>
      <c r="S203" s="150"/>
      <c r="T203" s="151"/>
      <c r="U203" s="149"/>
      <c r="V203" s="88"/>
      <c r="W203" s="88"/>
      <c r="X203" s="88"/>
      <c r="Y203" s="150"/>
      <c r="Z203" s="150"/>
      <c r="AA203" s="150"/>
      <c r="AB203" s="150"/>
      <c r="AC203" s="150"/>
      <c r="AD203" s="88"/>
      <c r="AE203" s="260"/>
      <c r="AF203" s="293"/>
      <c r="AG203" s="378"/>
      <c r="AH203" s="293"/>
      <c r="AI203" s="378"/>
      <c r="AJ203" s="293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68"/>
      <c r="AZ203" s="68"/>
      <c r="BA203" s="289"/>
      <c r="BB203" s="68"/>
      <c r="BC203" s="179"/>
      <c r="BD203" s="68"/>
      <c r="BE203" s="68"/>
      <c r="BF203" s="44"/>
      <c r="BG203" s="293"/>
      <c r="BH203" s="293"/>
      <c r="BI203" s="52"/>
      <c r="BJ203" s="10"/>
      <c r="BK203" s="10"/>
      <c r="BM203" s="114"/>
      <c r="BN203" s="114"/>
      <c r="BO203" s="114"/>
      <c r="BP203" s="114"/>
      <c r="BQ203" s="114"/>
      <c r="BR203" s="114"/>
      <c r="BS203" s="52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03"/>
      <c r="CE203" s="52"/>
      <c r="CF203" s="115"/>
      <c r="CG203" s="116"/>
      <c r="CH203" s="117"/>
      <c r="CI203" s="119"/>
      <c r="CJ203" s="117"/>
      <c r="CK203" s="209"/>
      <c r="CL203" s="209"/>
      <c r="CM203" s="110" t="str">
        <f t="shared" si="1189"/>
        <v>-</v>
      </c>
      <c r="CN203" s="64" t="str">
        <f>IF(SeilBeregnet=0,"-",(SeilBeregnet)^(1/2)*StHfaktor/(Depl+DeplTillegg/1000+Vann/1000+Diesel/1000*0.84)^(1/3))</f>
        <v>-</v>
      </c>
      <c r="CO203" s="64" t="str">
        <f t="shared" si="1140"/>
        <v>-</v>
      </c>
      <c r="CP203" s="64" t="str">
        <f t="shared" si="1141"/>
        <v>-</v>
      </c>
      <c r="CQ203" s="110" t="str">
        <f t="shared" si="1142"/>
        <v>-</v>
      </c>
      <c r="CR203" s="172" t="str">
        <f t="shared" si="1563"/>
        <v>-</v>
      </c>
      <c r="CS203" s="163"/>
      <c r="CT203" s="172" t="str">
        <f t="shared" si="1660"/>
        <v>-</v>
      </c>
      <c r="CU203" s="165"/>
      <c r="CV203" s="195" t="s">
        <v>145</v>
      </c>
      <c r="CW203" s="183"/>
      <c r="CX203" s="183"/>
      <c r="CY203" s="183"/>
      <c r="CZ203" s="155"/>
      <c r="DA203" s="64" t="str">
        <f t="shared" si="1397"/>
        <v>-</v>
      </c>
      <c r="DB203" s="49"/>
      <c r="DC203" s="50"/>
      <c r="DE203" s="110" t="str">
        <f>IF(SeilBeregnet=0,"-",DE$7*(DG:DG+DE$6)*DL:DL*PropF+ErfaringsF+Dyp_F)</f>
        <v>-</v>
      </c>
      <c r="DF203" s="144" t="str">
        <f t="shared" si="248"/>
        <v>-</v>
      </c>
      <c r="DG203" s="110">
        <f t="shared" si="1400"/>
        <v>4.4353052636492167</v>
      </c>
      <c r="DH203" s="136">
        <f t="shared" si="1580"/>
        <v>2.7638834755745267</v>
      </c>
      <c r="DI203" s="136">
        <f t="shared" si="1581"/>
        <v>0</v>
      </c>
      <c r="DJ203" s="136">
        <f t="shared" si="1582"/>
        <v>0</v>
      </c>
      <c r="DK203" s="136">
        <f t="shared" si="1583"/>
        <v>1.67142178807469</v>
      </c>
      <c r="DL203" s="110">
        <f t="shared" si="1584"/>
        <v>1.6657993231786119</v>
      </c>
      <c r="DM203" s="136">
        <f t="shared" si="1585"/>
        <v>1.9943100880436639</v>
      </c>
      <c r="DO203" s="110"/>
      <c r="DP203" s="110" t="str">
        <f t="shared" si="1401"/>
        <v>-</v>
      </c>
      <c r="DR203" s="110" t="str">
        <f t="shared" si="1402"/>
        <v>-</v>
      </c>
      <c r="DS203" s="125" t="str">
        <f t="shared" si="249"/>
        <v>-</v>
      </c>
      <c r="DT203" s="110" t="str">
        <f t="shared" si="1403"/>
        <v>-</v>
      </c>
      <c r="DU203" s="125" t="str">
        <f t="shared" si="250"/>
        <v>-</v>
      </c>
      <c r="DV203" s="110">
        <f t="shared" si="214"/>
        <v>2.7637221322167895</v>
      </c>
      <c r="DW203" s="110">
        <f t="shared" si="215"/>
        <v>1.9745464681619453</v>
      </c>
      <c r="DX203" s="110">
        <f t="shared" si="1588"/>
        <v>1.51284121476291</v>
      </c>
      <c r="DZ203" s="110" t="str">
        <f t="shared" si="1404"/>
        <v>-</v>
      </c>
      <c r="EB203" s="110">
        <f t="shared" si="217"/>
        <v>2.7637221322167895</v>
      </c>
      <c r="EC203" s="110">
        <f t="shared" si="1590"/>
        <v>1.9746673863959516</v>
      </c>
      <c r="ED203" s="110">
        <f t="shared" si="1591"/>
        <v>1.7366027764452827</v>
      </c>
      <c r="EE203" s="110" t="str">
        <f t="shared" si="1405"/>
        <v>-</v>
      </c>
      <c r="EG203" s="110">
        <f t="shared" si="1592"/>
        <v>4.1810727477699876</v>
      </c>
      <c r="EH203" s="110">
        <f t="shared" si="219"/>
        <v>2.7637221322167895</v>
      </c>
      <c r="EI203" s="110">
        <f t="shared" si="1594"/>
        <v>1.51284121476291</v>
      </c>
      <c r="EJ203" s="110">
        <f t="shared" si="1595"/>
        <v>1.6657993231786119</v>
      </c>
      <c r="EK203" s="110" t="str">
        <f>IF(SeilBeregnet=0,"-",EK$7*(EK$4*EM:EM+EK$6)*EP:EP*PropF+ErfaringsF+Dyp_F)</f>
        <v>-</v>
      </c>
      <c r="EM203" s="110">
        <f>IF(SeilBeregnet=0,EM202,(EN:EN*EO:EO)^EM$3)</f>
        <v>1.6344624806154615</v>
      </c>
      <c r="EN203" s="110">
        <f t="shared" si="220"/>
        <v>2.7637221322167895</v>
      </c>
      <c r="EO203" s="110">
        <f t="shared" si="1597"/>
        <v>0.96661946199231552</v>
      </c>
      <c r="EP203" s="110">
        <f t="shared" si="1598"/>
        <v>1.6833672989163568</v>
      </c>
      <c r="EQ203" s="110" t="str">
        <f>IF(SeilBeregnet=0,"-",EQ$7*(ES:ES+EQ$6)*EV:EV*PropF+ErfaringsF+Dyp_F)</f>
        <v>-</v>
      </c>
      <c r="ES203" s="110">
        <f>(ET:ET*EU:EU)^ES$3</f>
        <v>1.6345101890686702</v>
      </c>
      <c r="ET203" s="110">
        <f t="shared" si="221"/>
        <v>2.7638834755745267</v>
      </c>
      <c r="EU203" s="110">
        <f t="shared" si="1600"/>
        <v>0.96661946199231552</v>
      </c>
      <c r="EV203" s="110">
        <f t="shared" si="1601"/>
        <v>1.6833672989163568</v>
      </c>
      <c r="EW203" s="110" t="str">
        <f>IF(SeilBeregnet=0,"-",EW$7*(EY:EY+EW$6)*FB:FB*PropF+ErfaringsF+Dyp_F)</f>
        <v>-</v>
      </c>
      <c r="EX203" s="144" t="str">
        <f t="shared" si="1246"/>
        <v>-</v>
      </c>
      <c r="EY203" s="110">
        <f>(EZ:EZ*FA:FA)^EY$3</f>
        <v>2.5824433264436046</v>
      </c>
      <c r="EZ203" s="136">
        <f t="shared" si="1602"/>
        <v>2.7638834755745267</v>
      </c>
      <c r="FA203" s="136">
        <f t="shared" si="1603"/>
        <v>0.93435318430231351</v>
      </c>
      <c r="FB203" s="110">
        <f t="shared" si="1604"/>
        <v>0.94662699765472258</v>
      </c>
      <c r="FC203" s="110" t="str">
        <f>IF(SeilBeregnet=0,"-",FC$7*(FE:FE+FC$6)*FI:FI*PropF+ErfaringsF+Dyp_F)</f>
        <v>-</v>
      </c>
      <c r="FD203" s="144" t="str">
        <f t="shared" si="1247"/>
        <v>-</v>
      </c>
      <c r="FE203" s="110">
        <f>(FF:FF+FG:FG+FH:FH)^FE$3+FE$7</f>
        <v>4.6218995435394143</v>
      </c>
      <c r="FF203" s="136">
        <f t="shared" si="1605"/>
        <v>2.7638834755745267</v>
      </c>
      <c r="FG203" s="136">
        <f t="shared" si="1606"/>
        <v>0.6865942798901975</v>
      </c>
      <c r="FH203" s="136">
        <f t="shared" si="1607"/>
        <v>1.67142178807469</v>
      </c>
      <c r="FI203" s="110">
        <f t="shared" si="1608"/>
        <v>1.6657993231786119</v>
      </c>
      <c r="FJ203" s="110" t="str">
        <f>IF(SeilBeregnet=0,"-",FJ$7*(FL:FL+FJ$6)*FO:FO*PropF+ErfaringsF+Dyp_F)</f>
        <v>-</v>
      </c>
      <c r="FK203" s="144" t="str">
        <f t="shared" si="1248"/>
        <v>-</v>
      </c>
      <c r="FL203" s="110">
        <f>(FM:FM*FN:FN)^FL$3</f>
        <v>4.6196150607748638</v>
      </c>
      <c r="FM203" s="136">
        <f t="shared" si="1609"/>
        <v>2.7638834755745267</v>
      </c>
      <c r="FN203" s="136">
        <f t="shared" si="1610"/>
        <v>1.67142178807469</v>
      </c>
      <c r="FO203" s="110">
        <f t="shared" si="1611"/>
        <v>1.6657993231786119</v>
      </c>
      <c r="FQ203">
        <v>0.95</v>
      </c>
      <c r="FR203" s="64" t="str">
        <f t="shared" si="1506"/>
        <v>-</v>
      </c>
    </row>
    <row r="204" spans="1:198" ht="17.399999999999999" x14ac:dyDescent="0.3">
      <c r="A204" s="118" t="s">
        <v>597</v>
      </c>
      <c r="B204" s="100"/>
      <c r="C204" s="100"/>
      <c r="D204" s="100"/>
      <c r="E204" s="100"/>
      <c r="F204" s="100"/>
      <c r="G204" s="100"/>
      <c r="H204" s="210"/>
      <c r="I204" s="100"/>
      <c r="J204" s="230"/>
      <c r="K204" s="230"/>
      <c r="L204" s="230"/>
      <c r="M204" s="230"/>
      <c r="N204" s="266"/>
      <c r="O204" s="230"/>
      <c r="P204" s="230"/>
      <c r="Q204" s="230"/>
      <c r="R204" s="230"/>
      <c r="S204" s="271" t="s">
        <v>140</v>
      </c>
      <c r="T204" s="272"/>
      <c r="U204" s="271"/>
      <c r="V204" s="181">
        <f>StorS-StorS/6</f>
        <v>0</v>
      </c>
      <c r="W204" s="181">
        <f>StorS-StorS/6*1.9</f>
        <v>0</v>
      </c>
      <c r="X204" s="230"/>
      <c r="Y204" s="230"/>
      <c r="Z204" s="230"/>
      <c r="AA204" s="230"/>
      <c r="AB204" s="230"/>
      <c r="AC204" s="230"/>
      <c r="AD204" s="230"/>
      <c r="AE204" s="261"/>
      <c r="AF204" s="297"/>
      <c r="AG204" s="379"/>
      <c r="AH204" s="297"/>
      <c r="AI204" s="379"/>
      <c r="AJ204" s="297"/>
      <c r="AK204" s="100"/>
      <c r="AL204" s="230"/>
      <c r="AM204" s="230"/>
      <c r="AN204" s="230"/>
      <c r="AO204" s="230"/>
      <c r="AP204" s="230"/>
      <c r="AQ204" s="230"/>
      <c r="AR204" s="230"/>
      <c r="AS204" s="230"/>
      <c r="AT204" s="230"/>
      <c r="AU204" s="230"/>
      <c r="AV204" s="230"/>
      <c r="AW204" s="230"/>
      <c r="AX204" s="230"/>
      <c r="AY204" s="230"/>
      <c r="AZ204" s="230"/>
      <c r="BA204" s="230"/>
      <c r="BB204" s="230"/>
      <c r="BC204" s="230"/>
      <c r="BD204" s="230"/>
      <c r="BE204" s="230"/>
      <c r="BF204" s="230"/>
      <c r="BG204" s="297"/>
      <c r="BH204" s="297"/>
      <c r="BI204" s="100"/>
      <c r="BJ204" s="100"/>
      <c r="BK204" s="100"/>
      <c r="BL204" s="62"/>
      <c r="BM204" s="100"/>
      <c r="BN204" s="100"/>
      <c r="BO204" s="100"/>
      <c r="BP204" s="100"/>
      <c r="BQ204" s="100"/>
      <c r="BR204" s="100"/>
      <c r="BS204" s="52"/>
      <c r="BT204" s="100"/>
      <c r="BU204" s="100"/>
      <c r="BV204" s="100"/>
      <c r="BW204" s="100"/>
      <c r="BX204" s="100"/>
      <c r="BY204" s="100"/>
      <c r="BZ204" s="100"/>
      <c r="CA204" s="100"/>
      <c r="CB204" s="100"/>
      <c r="CC204" s="100"/>
      <c r="CD204" s="105"/>
      <c r="CE204" s="100"/>
      <c r="CF204" s="108"/>
      <c r="CG204" s="106"/>
      <c r="CH204" s="100"/>
      <c r="CI204" s="230"/>
      <c r="CJ204" s="100"/>
      <c r="CK204" s="210"/>
      <c r="CL204" s="210"/>
      <c r="CM204" s="110" t="str">
        <f t="shared" si="1189"/>
        <v>-</v>
      </c>
      <c r="CN204" s="64" t="str">
        <f>IF(SeilBeregnet=0,"-",(SeilBeregnet)^(1/2)*StHfaktor/(Depl+DeplTillegg/1000+Vann/1000+Diesel/1000*0.84)^(1/3))</f>
        <v>-</v>
      </c>
      <c r="CO204" s="64" t="str">
        <f t="shared" si="1140"/>
        <v>-</v>
      </c>
      <c r="CP204" s="64" t="str">
        <f t="shared" si="1141"/>
        <v>-</v>
      </c>
      <c r="CQ204" s="110" t="str">
        <f t="shared" si="1142"/>
        <v>-</v>
      </c>
      <c r="CR204" s="172" t="str">
        <f t="shared" si="1563"/>
        <v>-</v>
      </c>
      <c r="CS204" s="166"/>
      <c r="CT204" s="172" t="str">
        <f t="shared" si="1660"/>
        <v>-</v>
      </c>
      <c r="CU204" s="166"/>
      <c r="CV204" s="166"/>
      <c r="CW204" s="166"/>
      <c r="CX204" s="166"/>
      <c r="CY204" s="166"/>
      <c r="CZ204" s="166"/>
      <c r="DA204" s="166"/>
      <c r="DB204" s="166"/>
      <c r="DC204" s="166"/>
      <c r="DD204" s="166"/>
      <c r="DE204" s="166"/>
      <c r="DF204" s="166"/>
      <c r="DG204" s="166"/>
      <c r="DH204" s="166"/>
      <c r="DI204" s="166"/>
      <c r="DJ204" s="166"/>
      <c r="DK204" s="166"/>
      <c r="DL204" s="166"/>
      <c r="DM204" s="166"/>
      <c r="DN204" s="166"/>
      <c r="DO204" s="166"/>
      <c r="DP204" s="166"/>
      <c r="DQ204" s="166"/>
      <c r="DR204" s="166"/>
      <c r="DS204" s="166"/>
      <c r="DT204" s="166"/>
      <c r="DU204" s="166"/>
      <c r="DV204" s="166"/>
      <c r="DW204" s="166"/>
      <c r="DX204" s="166"/>
      <c r="DY204" s="166"/>
      <c r="DZ204" s="166"/>
      <c r="EA204" s="166"/>
      <c r="EB204" s="166"/>
      <c r="EC204" s="166"/>
      <c r="ED204" s="166"/>
      <c r="EE204" s="166"/>
      <c r="EF204" s="166"/>
      <c r="EG204" s="166"/>
      <c r="EH204" s="166"/>
      <c r="EI204" s="166"/>
      <c r="EJ204" s="166"/>
      <c r="EK204" s="166"/>
      <c r="EL204" s="166"/>
      <c r="EM204" s="166"/>
      <c r="EN204" s="166"/>
      <c r="EO204" s="166"/>
      <c r="EP204" s="166"/>
      <c r="EQ204" s="166"/>
      <c r="ER204" s="166"/>
      <c r="ES204" s="166"/>
      <c r="ET204" s="166"/>
      <c r="EU204" s="166"/>
      <c r="EV204" s="166"/>
      <c r="EW204" s="166"/>
      <c r="EX204" s="166"/>
      <c r="EY204" s="166"/>
      <c r="EZ204" s="166"/>
      <c r="FA204" s="166"/>
      <c r="FB204" s="166"/>
      <c r="FC204" s="166"/>
      <c r="FD204" s="166"/>
      <c r="FE204" s="166"/>
      <c r="FF204" s="166"/>
      <c r="FG204" s="166"/>
      <c r="FH204" s="166"/>
      <c r="FI204" s="166"/>
      <c r="FJ204" s="166"/>
      <c r="FK204" s="166"/>
      <c r="FL204" s="166"/>
      <c r="FM204" s="166"/>
      <c r="FN204" s="166"/>
      <c r="FO204" s="166"/>
      <c r="FP204" s="568"/>
      <c r="FQ204" s="166"/>
      <c r="FR204" s="64"/>
      <c r="FS204" s="100"/>
      <c r="FT204" s="100"/>
      <c r="FU204" s="483"/>
      <c r="FV204" s="100"/>
      <c r="FW204" s="477"/>
      <c r="FX204" s="477"/>
      <c r="FY204" s="477"/>
      <c r="FZ204" s="477"/>
      <c r="GB204" s="100"/>
      <c r="GC204" s="483"/>
      <c r="GD204" s="100"/>
      <c r="GE204" s="100"/>
      <c r="GF204" s="100"/>
      <c r="GG204" s="100"/>
      <c r="GI204" s="477"/>
      <c r="GJ204" s="477"/>
      <c r="GK204" s="477"/>
      <c r="GL204" s="477"/>
      <c r="GM204" s="477"/>
      <c r="GN204" s="477"/>
      <c r="GO204" s="477"/>
      <c r="GP204" s="477"/>
    </row>
    <row r="205" spans="1:198" ht="15.6" x14ac:dyDescent="0.3">
      <c r="A205" s="54" t="s">
        <v>76</v>
      </c>
      <c r="B205" s="223">
        <f t="shared" ref="B205" si="1661">Loa/0.3048</f>
        <v>39.763779527559052</v>
      </c>
      <c r="C205" s="55" t="s">
        <v>41</v>
      </c>
      <c r="D205" s="55"/>
      <c r="E205" s="55"/>
      <c r="F205" s="55"/>
      <c r="G205" s="56"/>
      <c r="H205" s="209"/>
      <c r="I205" s="126" t="str">
        <f>A205</f>
        <v>Vanadis</v>
      </c>
      <c r="J205" s="229"/>
      <c r="K205" s="119"/>
      <c r="L205" s="119"/>
      <c r="M205" s="95"/>
      <c r="N205" s="265"/>
      <c r="O205" s="169"/>
      <c r="P205" s="169">
        <v>63.8</v>
      </c>
      <c r="Q205" s="169">
        <v>25.7</v>
      </c>
      <c r="R205" s="169"/>
      <c r="S205" s="169"/>
      <c r="T205" s="169">
        <v>18</v>
      </c>
      <c r="U205" s="169"/>
      <c r="V205" s="169"/>
      <c r="W205" s="169"/>
      <c r="X205" s="169"/>
      <c r="Y205" s="169"/>
      <c r="Z205" s="169"/>
      <c r="AA205" s="169"/>
      <c r="AB205" s="169">
        <v>32.799999999999997</v>
      </c>
      <c r="AC205" s="169"/>
      <c r="AD205" s="169">
        <v>14.7</v>
      </c>
      <c r="AE205" s="270">
        <v>13.4</v>
      </c>
      <c r="AF205" s="296"/>
      <c r="AG205" s="377"/>
      <c r="AH205" s="296"/>
      <c r="AI205" s="377"/>
      <c r="AJ205" s="296" t="s">
        <v>229</v>
      </c>
      <c r="AK205" s="47">
        <f>VLOOKUP(AJ205,Skrogform!$1:$1048576,3,FALSE)</f>
        <v>0.97</v>
      </c>
      <c r="AL205" s="57">
        <v>12.12</v>
      </c>
      <c r="AM205" s="57">
        <v>10.4</v>
      </c>
      <c r="AN205" s="57">
        <v>3.91</v>
      </c>
      <c r="AO205" s="57">
        <v>2.15</v>
      </c>
      <c r="AP205" s="57">
        <v>19</v>
      </c>
      <c r="AQ205" s="57">
        <v>5.5</v>
      </c>
      <c r="AR205" s="57">
        <v>2</v>
      </c>
      <c r="AS205" s="281">
        <v>50</v>
      </c>
      <c r="AT205" s="281">
        <v>400</v>
      </c>
      <c r="AU205" s="281">
        <f>ROUND(Depl*10,-2)</f>
        <v>200</v>
      </c>
      <c r="AV205" s="281">
        <f>ROUND(Depl*10,-2)</f>
        <v>200</v>
      </c>
      <c r="AW205" s="270">
        <f>Depl+Diesel/1000+Vann/1000</f>
        <v>19.399999999999999</v>
      </c>
      <c r="AX205" s="281"/>
      <c r="AY205" s="98">
        <f>Bredde/(Loa+Lwl)*2</f>
        <v>0.34724689165186501</v>
      </c>
      <c r="AZ205" s="98">
        <f>(Kjøl+Ballast)/Depl</f>
        <v>0.39473684210526316</v>
      </c>
      <c r="BA205" s="288">
        <f>BA$7*((Depl-Kjøl-Ballast-VektMotor/1000-VektAnnet/1000)/Loa/Lwl/Bredde)</f>
        <v>0.97448773063563499</v>
      </c>
      <c r="BB205" s="98">
        <f>BB$7*(Depl/Loa/Lwl/Lwl)</f>
        <v>1.0883597242539587</v>
      </c>
      <c r="BC205" s="178">
        <f>BC$7*(Depl/Loa/Lwl/Bredde)</f>
        <v>1.0700433088066847</v>
      </c>
      <c r="BD205" s="98">
        <f>BD$7*Bredde/(Loa+Lwl)*2</f>
        <v>0.99058710059397626</v>
      </c>
      <c r="BE205" s="98">
        <f>BE$7*(Dypg/Lwl)</f>
        <v>1.1307274247491639</v>
      </c>
      <c r="BF205" s="58" t="s">
        <v>42</v>
      </c>
      <c r="BG205" s="296">
        <v>2</v>
      </c>
      <c r="BH205" s="296">
        <v>60</v>
      </c>
      <c r="BI205" s="47">
        <f t="shared" ref="BI205:BI235" si="1662">IF((BF205="Fast"),(1.006248-(0.06415*((BH205/100*SQRT(BG205))/POWER(AP205,(1/3))))),1)</f>
        <v>0.98584886704270647</v>
      </c>
      <c r="BJ205" s="61"/>
      <c r="BK205" s="61"/>
      <c r="BM205" s="214"/>
      <c r="BN205" s="214" t="str">
        <f>$A205</f>
        <v>Vanadis</v>
      </c>
      <c r="BO205" s="10"/>
      <c r="BP205" s="10"/>
      <c r="BQ205" s="10"/>
      <c r="BR205" s="10"/>
      <c r="BS205" s="52"/>
      <c r="BT205" s="214" t="str">
        <f>$A205</f>
        <v>Vanadis</v>
      </c>
      <c r="BU205" s="10"/>
      <c r="BV205" s="10"/>
      <c r="BW205" s="10"/>
      <c r="BX205" s="10"/>
      <c r="BY205" s="10"/>
      <c r="BZ205" s="10"/>
      <c r="CA205" s="10"/>
      <c r="CB205" s="10"/>
      <c r="CC205" s="10"/>
      <c r="CD205" s="214"/>
      <c r="CE205" s="10"/>
      <c r="CF205" s="214" t="str">
        <f>$A205</f>
        <v>Vanadis</v>
      </c>
      <c r="CG205" s="212"/>
      <c r="CH205" s="212"/>
      <c r="CI205" s="119"/>
      <c r="CJ205" s="212"/>
      <c r="CK205" s="208"/>
      <c r="CL205" s="208" t="s">
        <v>26</v>
      </c>
      <c r="CM205" s="110" t="str">
        <f t="shared" si="1189"/>
        <v>-</v>
      </c>
      <c r="CN205" s="64" t="str">
        <f>IF(SeilBeregnet=0,"-",(SeilBeregnet)^(1/2)*StHfaktor/(Depl+DeplTillegg/1000+Vann/1000+Diesel/1000*0.84)^(1/3))</f>
        <v>-</v>
      </c>
      <c r="CO205" s="64" t="str">
        <f t="shared" si="1140"/>
        <v>-</v>
      </c>
      <c r="CP205" s="64" t="str">
        <f t="shared" si="1141"/>
        <v>-</v>
      </c>
      <c r="CQ205" s="110" t="str">
        <f t="shared" si="1142"/>
        <v>-</v>
      </c>
      <c r="CR205" s="172">
        <f t="shared" si="1563"/>
        <v>0.98352941176470587</v>
      </c>
      <c r="CS205" s="164">
        <v>0.95</v>
      </c>
      <c r="CT205" s="172" t="str">
        <f t="shared" si="1660"/>
        <v>-</v>
      </c>
      <c r="CU205" s="164"/>
      <c r="CV205" s="195" t="s">
        <v>145</v>
      </c>
      <c r="CW205" s="30" t="s">
        <v>26</v>
      </c>
      <c r="CX205" s="30" t="s">
        <v>26</v>
      </c>
      <c r="CY205" s="30" t="s">
        <v>26</v>
      </c>
      <c r="CZ205" s="153">
        <v>2022</v>
      </c>
      <c r="DA205" s="64" t="str">
        <f t="shared" ref="DA205:DA239" si="1663">IF(SeilBeregnet=0,"-",((Dypg/(Lwl+DA$6-Bredde*DA$5))^(1/DA$4)*5)*DA$3*DA$7)</f>
        <v>-</v>
      </c>
      <c r="DB205" s="49">
        <f t="shared" ref="DB205:DB235" si="1664">(Dypg/(Lwl+Bredde+DB$8)*100)</f>
        <v>14.043109079033311</v>
      </c>
      <c r="DC205" s="50">
        <f t="shared" ref="DC205:DC235" si="1665">DB$7*IF(DB205&lt;DB$5,-0.04,IF(DB205&lt;DB$5*1.1,-0.03,IF(DB205&lt;DB$5*1.2,-0.02,IF(DB205&lt;DB$5*1.3,-0.01,0))))</f>
        <v>0</v>
      </c>
      <c r="DE205" s="110" t="str">
        <f>IF(SeilBeregnet=0,"-",DE$7*(DG:DG+DE$6)*DL:DL*PropF+ErfaringsF+Dyp_F)</f>
        <v>-</v>
      </c>
      <c r="DF205" s="144" t="str">
        <f t="shared" ref="DF205:DF216" si="1666">IF($DQ205=0,"-",(DE205-$DO205)*100)</f>
        <v>-</v>
      </c>
      <c r="DG205" s="110" t="e">
        <f t="shared" ref="DG205:DG242" si="1667">SUM(DH205:DK205)^DG$3+DG$7</f>
        <v>#REF!</v>
      </c>
      <c r="DH205" s="136" t="e">
        <f>IF(SeilBeregnet=0,#REF!,(SeilBeregnet^0.5/(Depl^0.3333))^DH$3*DH$7)</f>
        <v>#REF!</v>
      </c>
      <c r="DI205" s="136" t="e">
        <f>IF(SeilBeregnet=0,#REF!,(SeilBeregnet^0.5/Lwl)^DI$3*DI$7)</f>
        <v>#REF!</v>
      </c>
      <c r="DJ205" s="136" t="e">
        <f>IF(SeilBeregnet=0,#REF!,(0.1*Loa/Depl^0.3333)^DJ$3*DJ$7)</f>
        <v>#REF!</v>
      </c>
      <c r="DK205" s="136" t="e">
        <f>IF(SeilBeregnet=0,#REF!,((Loa)/Bredde)^DK$3*DK$7)</f>
        <v>#REF!</v>
      </c>
      <c r="DL205" s="110" t="e">
        <f>IF(SeilBeregnet=0,#REF!,(Lwl)^DL$3)</f>
        <v>#REF!</v>
      </c>
      <c r="DM205" s="136" t="e">
        <f>IF(SeilBeregnet=0,#REF!,(Dypg/Loa)^DM$3*5*DM$7)</f>
        <v>#REF!</v>
      </c>
      <c r="DO205" s="110" t="str">
        <f t="shared" si="669"/>
        <v>-</v>
      </c>
      <c r="DP205" s="110" t="str">
        <f t="shared" ref="DP205:DP239" si="1668">IF(SeilBeregnet=0,"-",DP$7*(DP$4*SeilBeregnet^0.5/(Depl^0.33333*Bredde*Lwl)^0.3333*((Loa*0.03+Lwl*0.07)^0.33)*PropF+DP$6)+ErfaringsF+Dyp_F)</f>
        <v>-</v>
      </c>
      <c r="DR205" s="110" t="str">
        <f t="shared" ref="DR205:DR239" si="1669">IF(SeilBeregnet=0,"-",DR$7*(DR$4*SeilBeregnet^0.5/(Depl^0.33333*Bredde*Lwl)^0.3333*Lwl^0.3333*((Loa+Lwl)/Bredde/6)^0.25*PropF+DR$6)+ErfaringsF+Dyp_F)</f>
        <v>-</v>
      </c>
      <c r="DS205" s="125" t="str">
        <f t="shared" ref="DS205:DS216" si="1670">IF($DQ205=0,"-",DR205-$DO205)</f>
        <v>-</v>
      </c>
      <c r="DT205" s="110" t="str">
        <f t="shared" ref="DT205:DT243" si="1671">IF(SeilBeregnet=0,"-",DT$7*(DT$4*DV205*DW205*DX205*PropF+DT$6)+ErfaringsF+Dyp_F)</f>
        <v>-</v>
      </c>
      <c r="DU205" s="125" t="str">
        <f t="shared" ref="DU205:DU216" si="1672">IF($DQ205=0,"-",DT205-$DO205)</f>
        <v>-</v>
      </c>
      <c r="DV205" s="110">
        <f>IF(SeilBeregnet=0,DV235,SeilBeregnet^0.5/Depl^0.33333)</f>
        <v>0</v>
      </c>
      <c r="DW205" s="110">
        <f>IF(SeilBeregnet=0,DW235,Lwl^0.3333)</f>
        <v>0</v>
      </c>
      <c r="DX205" s="110">
        <f>IF(SeilBeregnet=0,DX235,((Loa+Lwl)/Bredde)^DX$3)</f>
        <v>0</v>
      </c>
      <c r="DZ205" s="110" t="str">
        <f t="shared" ref="DZ205:DZ243" si="1673">IF(SeilBeregnet=0,"-",DZ$7*(DZ$4*EB205*EC205*ED205*PropF+DZ$6)+ErfaringsF+Dyp_F)</f>
        <v>-</v>
      </c>
      <c r="EB205" s="110">
        <f>IF(SeilBeregnet=0,EB235,SeilBeregnet^0.5/Depl^0.33333)</f>
        <v>0</v>
      </c>
      <c r="EC205" s="110">
        <f>IF(SeilBeregnet=0,EC235,Lwl^EC$3)</f>
        <v>0</v>
      </c>
      <c r="ED205" s="110">
        <f>IF(SeilBeregnet=0,ED235,((Loa+Lwl)/Bredde)^ED$3)</f>
        <v>0</v>
      </c>
      <c r="EE205" s="110" t="str">
        <f t="shared" ref="EE205:EE243" si="1674">IF(SeilBeregnet=0,"-",EE$7*(EE$4*EG205+EE$6)*EJ205*PropF+ErfaringsF+Dyp_F)</f>
        <v>-</v>
      </c>
      <c r="EG205" s="110">
        <f>IF(SeilBeregnet=0,EG235,(EH205*EI205)^EG$3)</f>
        <v>0</v>
      </c>
      <c r="EH205" s="110">
        <f>IF(SeilBeregnet=0,EH235,SeilBeregnet^0.5/Depl^0.33333)</f>
        <v>0</v>
      </c>
      <c r="EI205" s="110">
        <f>IF(SeilBeregnet=0,EI235,((Loa+Lwl)/Bredde)^EI$3)</f>
        <v>0</v>
      </c>
      <c r="EJ205" s="110">
        <f>IF(SeilBeregnet=0,EJ235,Lwl^EJ$3)</f>
        <v>0</v>
      </c>
      <c r="EK205" s="110" t="str">
        <f>IF(SeilBeregnet=0,"-",EK$7*(EK$4*EM:EM+EK$6)*EP:EP*PropF+ErfaringsF+Dyp_F)</f>
        <v>-</v>
      </c>
      <c r="EM205" s="110">
        <f>IF(SeilBeregnet=0,EM235,(EN:EN*EO:EO)^EM$3)</f>
        <v>0</v>
      </c>
      <c r="EN205" s="110">
        <f>IF(SeilBeregnet=0,EN235,SeilBeregnet^0.5/Depl^0.33333)</f>
        <v>0</v>
      </c>
      <c r="EO205" s="110">
        <f>IF(SeilBeregnet=0,EO235,((Loa+Lwl)/Bredde/6)^EO$3)</f>
        <v>0</v>
      </c>
      <c r="EP205" s="110">
        <f>IF(SeilBeregnet=0,EP235,(Lwl*0.7+Loa*0.3)^EP$3)</f>
        <v>0</v>
      </c>
      <c r="EQ205" s="110" t="str">
        <f>IF(SeilBeregnet=0,"-",EQ$7*(ES:ES+EQ$6)*EV:EV*PropF+ErfaringsF+Dyp_F)</f>
        <v>-</v>
      </c>
      <c r="ES205" s="110">
        <f>(ET:ET*EU:EU)^ES$3</f>
        <v>0</v>
      </c>
      <c r="ET205" s="110">
        <f>IF(SeilBeregnet=0,ET235,SeilBeregnet^0.5/Depl^0.3333)</f>
        <v>0</v>
      </c>
      <c r="EU205" s="110">
        <f>IF(SeilBeregnet=0,EU235,((Loa+Lwl)/Bredde/6)^EU$3)</f>
        <v>0</v>
      </c>
      <c r="EV205" s="110">
        <f>IF(SeilBeregnet=0,EV235,(Lwl*0.7+Loa*0.3)^EV$3)</f>
        <v>0</v>
      </c>
      <c r="EW205" s="110" t="str">
        <f>IF(SeilBeregnet=0,"-",EW$7*(EY:EY+EW$6)*FB:FB*PropF+ErfaringsF+Dyp_F)</f>
        <v>-</v>
      </c>
      <c r="EX205" s="144" t="str">
        <f t="shared" ref="EX205:EX215" si="1675">IF($DQ205=0,"-",(EW205-$DO205)*100)</f>
        <v>-</v>
      </c>
      <c r="EY205" s="110">
        <f>(EZ:EZ*FA:FA)^EY$3</f>
        <v>0</v>
      </c>
      <c r="EZ205" s="136">
        <f>IF(SeilBeregnet=0,EZ235,(SeilBeregnet^0.5/(Depl^0.3333))^EZ$3)</f>
        <v>0</v>
      </c>
      <c r="FA205" s="136">
        <f>IF(SeilBeregnet=0,FA235,((Loa+Lwl)/Bredde/6)^FA$3)</f>
        <v>0</v>
      </c>
      <c r="FB205" s="110">
        <f>IF(SeilBeregnet=0,FB235,(Lwl*0.07+Loa*0.03)^FB$3)</f>
        <v>0</v>
      </c>
      <c r="FC205" s="110" t="str">
        <f>IF(SeilBeregnet=0,"-",FC$7*(FE:FE+FC$6)*FI:FI*PropF+ErfaringsF+Dyp_F)</f>
        <v>-</v>
      </c>
      <c r="FD205" s="144" t="str">
        <f t="shared" ref="FD205:FD215" si="1676">IF($DQ205=0,"-",(FC205-$DO205)*100)</f>
        <v>-</v>
      </c>
      <c r="FE205" s="110">
        <f>(FF:FF+FG:FG+FH:FH)^FE$3+FE$7</f>
        <v>-0.5</v>
      </c>
      <c r="FF205" s="136">
        <f>IF(SeilBeregnet=0,FF235,(SeilBeregnet^0.5/(Depl^0.3333))^FF$3)</f>
        <v>0</v>
      </c>
      <c r="FG205" s="136">
        <f>IF(SeilBeregnet=0,FG235,(SeilBeregnet^0.5/Lwl*FG$7)^FG$3)</f>
        <v>0</v>
      </c>
      <c r="FH205" s="136">
        <f>IF(SeilBeregnet=0,FH235,((Loa)/Bredde)^FH$3*FH$7)</f>
        <v>0</v>
      </c>
      <c r="FI205" s="110">
        <f>IF(SeilBeregnet=0,FI235,(Lwl)^FI$3)</f>
        <v>0</v>
      </c>
      <c r="FJ205" s="110" t="str">
        <f>IF(SeilBeregnet=0,"-",FJ$7*(FL:FL+FJ$6)*FO:FO*PropF+ErfaringsF+Dyp_F)</f>
        <v>-</v>
      </c>
      <c r="FK205" s="144" t="str">
        <f t="shared" ref="FK205:FK215" si="1677">IF($DQ205=0,"-",(FJ205-$DO205)*100)</f>
        <v>-</v>
      </c>
      <c r="FL205" s="110">
        <f>(FM:FM*FN:FN)^FL$3</f>
        <v>0</v>
      </c>
      <c r="FM205" s="136">
        <f>IF(SeilBeregnet=0,FM235,(SeilBeregnet^0.5/(Depl^0.3333))^FM$3)</f>
        <v>0</v>
      </c>
      <c r="FN205" s="136">
        <f>IF(SeilBeregnet=0,FN235,(Loa/Bredde)^FN$3)</f>
        <v>0</v>
      </c>
      <c r="FO205" s="110">
        <f>IF(SeilBeregnet=0,FO235,Lwl^FO$3)</f>
        <v>0</v>
      </c>
      <c r="FQ205" s="374">
        <v>1</v>
      </c>
      <c r="FR205" s="64" t="str">
        <f t="shared" ref="FR205:FR236" si="1678">IF(SeilBeregnet=0,"-",0.06*2.43^(1/2)*(SeilBeregnet^(1/2)/Depl^(1/3)+(Loa/Bredde)^(1/2)+5*(Dypg/Loa)^(1/2))*Lwl^(1/4)*FQ205)</f>
        <v>-</v>
      </c>
      <c r="FS205" s="480"/>
      <c r="FT205" s="59"/>
      <c r="FU205" s="475"/>
      <c r="FV205" s="77"/>
      <c r="FW205" s="59"/>
      <c r="FX205" s="59"/>
      <c r="FY205" s="59"/>
      <c r="FZ205" s="59"/>
      <c r="GB205" s="59" t="s">
        <v>522</v>
      </c>
      <c r="GC205" s="475" t="s">
        <v>522</v>
      </c>
      <c r="GD205" s="60" t="s">
        <v>522</v>
      </c>
      <c r="GE205" s="60" t="s">
        <v>522</v>
      </c>
      <c r="GF205" s="60" t="s">
        <v>522</v>
      </c>
      <c r="GG205" s="60" t="s">
        <v>522</v>
      </c>
      <c r="GI205" s="59"/>
      <c r="GJ205" s="59"/>
      <c r="GK205" s="59"/>
      <c r="GL205" s="59"/>
      <c r="GM205" s="59"/>
      <c r="GN205" s="59"/>
      <c r="GO205" s="59"/>
      <c r="GP205" s="59"/>
    </row>
    <row r="206" spans="1:198" ht="15.6" x14ac:dyDescent="0.3">
      <c r="A206" s="62" t="s">
        <v>49</v>
      </c>
      <c r="B206" s="223"/>
      <c r="C206" s="63" t="str">
        <f>C205</f>
        <v>Bermuda</v>
      </c>
      <c r="D206" s="63"/>
      <c r="E206" s="63"/>
      <c r="F206" s="63"/>
      <c r="G206" s="56"/>
      <c r="H206" s="209">
        <f>TBFavrundet</f>
        <v>103.49999999999999</v>
      </c>
      <c r="I206" s="65">
        <f>COUNTA(O206:AD206)</f>
        <v>3</v>
      </c>
      <c r="J206" s="228">
        <f>SUM(O206:AD206)</f>
        <v>111.3</v>
      </c>
      <c r="K206" s="119">
        <f>Seilareal/Depl^0.667/K$7</f>
        <v>1.4278082054079986</v>
      </c>
      <c r="L206" s="119">
        <f>Seilareal/Lwl/Lwl/L$7</f>
        <v>1.5613686658591792</v>
      </c>
      <c r="M206" s="95">
        <f>RiggF</f>
        <v>0.96698113207547176</v>
      </c>
      <c r="N206" s="265">
        <f>StHfaktor</f>
        <v>1.032188300975974</v>
      </c>
      <c r="O206" s="147"/>
      <c r="P206" s="169">
        <v>63.8</v>
      </c>
      <c r="Q206" s="147"/>
      <c r="R206" s="147"/>
      <c r="S206" s="147"/>
      <c r="T206" s="147"/>
      <c r="U206" s="148"/>
      <c r="V206" s="148"/>
      <c r="W206" s="148"/>
      <c r="X206" s="148"/>
      <c r="Y206" s="147"/>
      <c r="Z206" s="147"/>
      <c r="AA206" s="147"/>
      <c r="AB206" s="169">
        <v>32.799999999999997</v>
      </c>
      <c r="AC206" s="169"/>
      <c r="AD206" s="169">
        <v>14.7</v>
      </c>
      <c r="AE206" s="260">
        <f t="shared" ref="AE206" si="1679">AE205</f>
        <v>13.4</v>
      </c>
      <c r="AF206" s="375">
        <f t="shared" ref="AF206:AH218" si="1680" xml:space="preserve"> AF205</f>
        <v>0</v>
      </c>
      <c r="AG206" s="377"/>
      <c r="AH206" s="375">
        <f t="shared" si="1680"/>
        <v>0</v>
      </c>
      <c r="AI206" s="377"/>
      <c r="AJ206" s="295" t="str">
        <f t="shared" ref="AJ206" si="1681" xml:space="preserve"> AJ205</f>
        <v>Los</v>
      </c>
      <c r="AK206" s="47">
        <f>VLOOKUP(AJ206,Skrogform!$1:$1048576,3,FALSE)</f>
        <v>0.97</v>
      </c>
      <c r="AL206" s="66">
        <f t="shared" ref="AL206:AT208" si="1682">AL205</f>
        <v>12.12</v>
      </c>
      <c r="AM206" s="66">
        <f t="shared" si="1682"/>
        <v>10.4</v>
      </c>
      <c r="AN206" s="66">
        <f t="shared" si="1682"/>
        <v>3.91</v>
      </c>
      <c r="AO206" s="66">
        <f t="shared" si="1682"/>
        <v>2.15</v>
      </c>
      <c r="AP206" s="66">
        <f t="shared" si="1682"/>
        <v>19</v>
      </c>
      <c r="AQ206" s="66">
        <f t="shared" si="1682"/>
        <v>5.5</v>
      </c>
      <c r="AR206" s="66">
        <f t="shared" si="1682"/>
        <v>2</v>
      </c>
      <c r="AS206" s="284">
        <f t="shared" si="1682"/>
        <v>50</v>
      </c>
      <c r="AT206" s="284">
        <f t="shared" si="1682"/>
        <v>400</v>
      </c>
      <c r="AU206" s="284">
        <f t="shared" ref="AU206:AV206" si="1683">AU205</f>
        <v>200</v>
      </c>
      <c r="AV206" s="284">
        <f t="shared" si="1683"/>
        <v>200</v>
      </c>
      <c r="AW206" s="284"/>
      <c r="AX206" s="284">
        <f>AX205</f>
        <v>0</v>
      </c>
      <c r="AY206" s="68"/>
      <c r="AZ206" s="68"/>
      <c r="BA206" s="289"/>
      <c r="BB206" s="68"/>
      <c r="BC206" s="179"/>
      <c r="BD206" s="68"/>
      <c r="BE206" s="68"/>
      <c r="BF206" s="67" t="str">
        <f t="shared" ref="BF206:BH206" si="1684" xml:space="preserve"> BF205</f>
        <v>Fast</v>
      </c>
      <c r="BG206" s="295">
        <f t="shared" si="1684"/>
        <v>2</v>
      </c>
      <c r="BH206" s="295">
        <f t="shared" si="1684"/>
        <v>60</v>
      </c>
      <c r="BI206" s="47">
        <f t="shared" si="1662"/>
        <v>0.98584886704270647</v>
      </c>
      <c r="BJ206" s="61"/>
      <c r="BK206" s="61"/>
      <c r="BM206" s="51">
        <f t="shared" ref="BM206:BR208" si="1685">IF(O206=0,0,O206*BM$9)</f>
        <v>0</v>
      </c>
      <c r="BN206" s="51">
        <f t="shared" si="1685"/>
        <v>63.8</v>
      </c>
      <c r="BO206" s="51">
        <f t="shared" si="1685"/>
        <v>0</v>
      </c>
      <c r="BP206" s="51">
        <f t="shared" si="1685"/>
        <v>0</v>
      </c>
      <c r="BQ206" s="51">
        <f t="shared" si="1685"/>
        <v>0</v>
      </c>
      <c r="BR206" s="51">
        <f t="shared" si="1685"/>
        <v>0</v>
      </c>
      <c r="BS206" s="52">
        <f>IF(COUNT(P206:T206)&gt;1,MINA(P206:T206)*BS$9,0)</f>
        <v>0</v>
      </c>
      <c r="BT206" s="88">
        <f t="shared" ref="BT206:CC208" si="1686">IF(U206=0,0,U206*BT$9)</f>
        <v>0</v>
      </c>
      <c r="BU206" s="88">
        <f t="shared" si="1686"/>
        <v>0</v>
      </c>
      <c r="BV206" s="88">
        <f t="shared" si="1686"/>
        <v>0</v>
      </c>
      <c r="BW206" s="88">
        <f t="shared" si="1686"/>
        <v>0</v>
      </c>
      <c r="BX206" s="88">
        <f t="shared" si="1686"/>
        <v>0</v>
      </c>
      <c r="BY206" s="88">
        <f t="shared" si="1686"/>
        <v>0</v>
      </c>
      <c r="BZ206" s="88">
        <f t="shared" si="1686"/>
        <v>0</v>
      </c>
      <c r="CA206" s="88">
        <f t="shared" si="1686"/>
        <v>32.799999999999997</v>
      </c>
      <c r="CB206" s="88">
        <f t="shared" si="1686"/>
        <v>0</v>
      </c>
      <c r="CC206" s="88">
        <f t="shared" si="1686"/>
        <v>11.024999999999999</v>
      </c>
      <c r="CD206" s="103">
        <f>SUM(BM206:CC206)</f>
        <v>107.625</v>
      </c>
      <c r="CE206" s="52"/>
      <c r="CF206" s="109">
        <f>J206</f>
        <v>111.3</v>
      </c>
      <c r="CG206" s="104">
        <f>CD206/CF206</f>
        <v>0.96698113207547176</v>
      </c>
      <c r="CH206" s="53">
        <f>Seilareal/Lwl/Lwl</f>
        <v>1.0290310650887573</v>
      </c>
      <c r="CI206" s="119">
        <f>Seilareal/Depl^0.667/K$7</f>
        <v>1.4278082054079986</v>
      </c>
      <c r="CJ206" s="53">
        <f>Seilareal/Lwl/Lwl/SApRS1</f>
        <v>1.5613686658591792</v>
      </c>
      <c r="CK206" s="209"/>
      <c r="CL206" s="209">
        <f>(ROUND(TBF/CL$6,3)*CL$6)*CL$4</f>
        <v>103.49999999999999</v>
      </c>
      <c r="CM206" s="110">
        <f t="shared" si="1189"/>
        <v>1.0371220273627251</v>
      </c>
      <c r="CN206" s="64">
        <f>IF(SeilBeregnet=0,"-",(SeilBeregnet)^(1/2)*StHfaktor/(Depl+DeplTillegg/1000+Vann/1000+Diesel/1000*0.84)^(1/3))</f>
        <v>3.9737453682685469</v>
      </c>
      <c r="CO206" s="64">
        <f t="shared" si="1140"/>
        <v>1.6969959918689959</v>
      </c>
      <c r="CP206" s="64">
        <f t="shared" si="1141"/>
        <v>1.7958015200236968</v>
      </c>
      <c r="CQ206" s="110">
        <f t="shared" si="1142"/>
        <v>1.032188300975974</v>
      </c>
      <c r="CR206" s="172">
        <f t="shared" si="1563"/>
        <v>0.98352941176470587</v>
      </c>
      <c r="CS206" s="163">
        <f>CS205</f>
        <v>0.95</v>
      </c>
      <c r="CT206" s="172" t="str">
        <f t="shared" si="1660"/>
        <v>-</v>
      </c>
      <c r="CU206" s="163">
        <f>CU205</f>
        <v>0</v>
      </c>
      <c r="CV206" s="195" t="s">
        <v>145</v>
      </c>
      <c r="CW206" s="64">
        <v>1.01</v>
      </c>
      <c r="CX206" s="64">
        <v>0.95</v>
      </c>
      <c r="CY206" s="64">
        <v>1.03</v>
      </c>
      <c r="CZ206" s="154">
        <v>1.05</v>
      </c>
      <c r="DA206" s="64">
        <f t="shared" si="1663"/>
        <v>2.1825047202710279</v>
      </c>
      <c r="DB206" s="49">
        <f t="shared" si="1664"/>
        <v>14.043109079033311</v>
      </c>
      <c r="DC206" s="50">
        <f t="shared" si="1665"/>
        <v>0</v>
      </c>
      <c r="DE206" s="110">
        <f>IF(SeilBeregnet=0,"-",DE$7*(DG:DG+DE$6)*DL:DL*PropF+ErfaringsF+Dyp_F)</f>
        <v>1.0100585276216425</v>
      </c>
      <c r="DF206" s="144">
        <f t="shared" si="1666"/>
        <v>-5.9139438731682148</v>
      </c>
      <c r="DG206" s="110">
        <f t="shared" si="1667"/>
        <v>5.6488037829336246</v>
      </c>
      <c r="DH206" s="136">
        <f>IF(SeilBeregnet=0,DH205,(SeilBeregnet^0.5/(Depl^0.3333))^DH$3*DH$7)</f>
        <v>3.8881947276563618</v>
      </c>
      <c r="DI206" s="136">
        <f>IF(SeilBeregnet=0,DI205,(SeilBeregnet^0.5/Lwl)^DI$3*DI$7)</f>
        <v>0</v>
      </c>
      <c r="DJ206" s="136">
        <f>IF(SeilBeregnet=0,DJ205,(0.1*Loa/Depl^0.3333)^DJ$3*DJ$7)</f>
        <v>0</v>
      </c>
      <c r="DK206" s="136">
        <f>IF(SeilBeregnet=0,DK205,((Loa)/Bredde)^DK$3*DK$7)</f>
        <v>1.7606090552772629</v>
      </c>
      <c r="DL206" s="110">
        <f>IF(SeilBeregnet=0,DL205,(Lwl)^DL$3)</f>
        <v>1.7958015200236968</v>
      </c>
      <c r="DM206" s="136">
        <f>IF(SeilBeregnet=0,DM205,(Dypg/Loa)^DM$3*5*DM$7)</f>
        <v>2.1059008718000438</v>
      </c>
      <c r="DO206" s="110">
        <f t="shared" si="669"/>
        <v>1.0691979663533246</v>
      </c>
      <c r="DP206" s="110">
        <f t="shared" si="1668"/>
        <v>1.068461461956852</v>
      </c>
      <c r="DQ206" s="125">
        <f>DP206-DO206</f>
        <v>-7.365043964726592E-4</v>
      </c>
      <c r="DR206" s="110">
        <f t="shared" si="1669"/>
        <v>1.0276768650436323</v>
      </c>
      <c r="DS206" s="125">
        <f t="shared" si="1670"/>
        <v>-4.1521101309692332E-2</v>
      </c>
      <c r="DT206" s="110">
        <f t="shared" si="1671"/>
        <v>1.0377437124784059</v>
      </c>
      <c r="DU206" s="125">
        <f t="shared" si="1672"/>
        <v>-3.1454253874918736E-2</v>
      </c>
      <c r="DV206" s="110">
        <f t="shared" ref="DV206:DV263" si="1687">IF(SeilBeregnet=0,DV205,SeilBeregnet^0.5/Depl^0.33333)</f>
        <v>3.8878512862617773</v>
      </c>
      <c r="DW206" s="110">
        <f t="shared" ref="DW206:DW263" si="1688">IF(SeilBeregnet=0,DW205,Lwl^0.3333)</f>
        <v>2.1826153840929692</v>
      </c>
      <c r="DX206" s="110">
        <f t="shared" ref="DX206:DX227" si="1689">IF(SeilBeregnet=0,DX205,((Loa+Lwl)/Bredde)^DX$3)</f>
        <v>1.5491658229492145</v>
      </c>
      <c r="DZ206" s="110">
        <f t="shared" si="1673"/>
        <v>1.0222754072033802</v>
      </c>
      <c r="EB206" s="110">
        <f t="shared" ref="EB206:EB263" si="1690">IF(SeilBeregnet=0,EB205,SeilBeregnet^0.5/Depl^0.33333)</f>
        <v>3.8878512862617773</v>
      </c>
      <c r="EC206" s="110">
        <f t="shared" ref="EC206:EC227" si="1691">IF(SeilBeregnet=0,EC205,Lwl^EC$3)</f>
        <v>2.182768727320779</v>
      </c>
      <c r="ED206" s="110">
        <f t="shared" ref="ED206:ED227" si="1692">IF(SeilBeregnet=0,ED205,((Loa+Lwl)/Bredde)^ED$3)</f>
        <v>1.7924148356616389</v>
      </c>
      <c r="EE206" s="110">
        <f t="shared" si="1674"/>
        <v>1.022573896599001</v>
      </c>
      <c r="EG206" s="110">
        <f t="shared" ref="EG206:EG227" si="1693">IF(SeilBeregnet=0,EG205,(EH206*EI206)^EG$3)</f>
        <v>6.0229263373858881</v>
      </c>
      <c r="EH206" s="110">
        <f t="shared" ref="EH206:EH263" si="1694">IF(SeilBeregnet=0,EH205,SeilBeregnet^0.5/Depl^0.33333)</f>
        <v>3.8878512862617773</v>
      </c>
      <c r="EI206" s="110">
        <f t="shared" ref="EI206:EI227" si="1695">IF(SeilBeregnet=0,EI205,((Loa+Lwl)/Bredde)^EI$3)</f>
        <v>1.5491658229492145</v>
      </c>
      <c r="EJ206" s="110">
        <f t="shared" ref="EJ206:EJ227" si="1696">IF(SeilBeregnet=0,EJ205,Lwl^EJ$3)</f>
        <v>1.7958015200236968</v>
      </c>
      <c r="EK206" s="110">
        <f>IF(SeilBeregnet=0,"-",EK$7*(EK$4*EM:EM+EK$6)*EP:EP*PropF+ErfaringsF+Dyp_F)</f>
        <v>1.016983526688447</v>
      </c>
      <c r="EM206" s="110">
        <f>IF(SeilBeregnet=0,EM205,(EN:EN*EO:EO)^EM$3)</f>
        <v>1.9617102871361947</v>
      </c>
      <c r="EN206" s="110">
        <f t="shared" ref="EN206:EN263" si="1697">IF(SeilBeregnet=0,EN205,SeilBeregnet^0.5/Depl^0.33333)</f>
        <v>3.8878512862617773</v>
      </c>
      <c r="EO206" s="110">
        <f t="shared" ref="EO206:EO227" si="1698">IF(SeilBeregnet=0,EO205,((Loa+Lwl)/Bredde/6)^EO$3)</f>
        <v>0.98982881990740235</v>
      </c>
      <c r="EP206" s="110">
        <f t="shared" ref="EP206:EP227" si="1699">IF(SeilBeregnet=0,EP205,(Lwl*0.7+Loa*0.3)^EP$3)</f>
        <v>1.8176735255279128</v>
      </c>
      <c r="EQ206" s="110">
        <f>IF(SeilBeregnet=0,"-",EQ$7*(ES:ES+EQ$6)*EV:EV*PropF+ErfaringsF+Dyp_F)</f>
        <v>0.96196270952802476</v>
      </c>
      <c r="ES206" s="110">
        <f>(ET:ET*EU:EU)^ES$3</f>
        <v>1.9617969310930936</v>
      </c>
      <c r="ET206" s="110">
        <f t="shared" ref="ET206:ET263" si="1700">IF(SeilBeregnet=0,ET205,SeilBeregnet^0.5/Depl^0.3333)</f>
        <v>3.8881947276563618</v>
      </c>
      <c r="EU206" s="110">
        <f t="shared" ref="EU206:EU227" si="1701">IF(SeilBeregnet=0,EU205,((Loa+Lwl)/Bredde/6)^EU$3)</f>
        <v>0.98982881990740235</v>
      </c>
      <c r="EV206" s="110">
        <f t="shared" ref="EV206:EV227" si="1702">IF(SeilBeregnet=0,EV205,(Lwl*0.7+Loa*0.3)^EV$3)</f>
        <v>1.8176735255279128</v>
      </c>
      <c r="EW206" s="110">
        <f>IF(SeilBeregnet=0,"-",EW$7*(EY:EY+EW$6)*FB:FB*PropF+ErfaringsF+Dyp_F)</f>
        <v>1.0010625924319583</v>
      </c>
      <c r="EX206" s="144">
        <f t="shared" si="1675"/>
        <v>-6.8135373921366371</v>
      </c>
      <c r="EY206" s="110">
        <f>(EZ:EZ*FA:FA)^EY$3</f>
        <v>3.8095019150739433</v>
      </c>
      <c r="EZ206" s="136">
        <f t="shared" ref="EZ206:EZ227" si="1703">IF(SeilBeregnet=0,EZ205,(SeilBeregnet^0.5/(Depl^0.3333))^EZ$3)</f>
        <v>3.8881947276563618</v>
      </c>
      <c r="FA206" s="136">
        <f t="shared" ref="FA206:FA227" si="1704">IF(SeilBeregnet=0,FA205,((Loa+Lwl)/Bredde/6)^FA$3)</f>
        <v>0.9797610927192808</v>
      </c>
      <c r="FB206" s="110">
        <f t="shared" ref="FB206:FB227" si="1705">IF(SeilBeregnet=0,FB205,(Lwl*0.07+Loa*0.03)^FB$3)</f>
        <v>1.0221529391087805</v>
      </c>
      <c r="FC206" s="110">
        <f>IF(SeilBeregnet=0,"-",FC$7*(FE:FE+FC$6)*FI:FI*PropF+ErfaringsF+Dyp_F)</f>
        <v>1.0446134396328124</v>
      </c>
      <c r="FD206" s="144">
        <f t="shared" si="1676"/>
        <v>-2.4584526720512256</v>
      </c>
      <c r="FE206" s="110">
        <f>(FF:FF+FG:FG+FH:FH)^FE$3+FE$7</f>
        <v>6.1463275291473956</v>
      </c>
      <c r="FF206" s="136">
        <f t="shared" ref="FF206:FF227" si="1706">IF(SeilBeregnet=0,FF205,(SeilBeregnet^0.5/(Depl^0.3333))^FF$3)</f>
        <v>3.8881947276563618</v>
      </c>
      <c r="FG206" s="136">
        <f t="shared" ref="FG206:FG227" si="1707">IF(SeilBeregnet=0,FG205,(SeilBeregnet^0.5/Lwl*FG$7)^FG$3)</f>
        <v>0.9975237462137706</v>
      </c>
      <c r="FH206" s="136">
        <f t="shared" ref="FH206:FH227" si="1708">IF(SeilBeregnet=0,FH205,((Loa)/Bredde)^FH$3*FH$7)</f>
        <v>1.7606090552772629</v>
      </c>
      <c r="FI206" s="110">
        <f t="shared" ref="FI206:FI227" si="1709">IF(SeilBeregnet=0,FI205,(Lwl)^FI$3)</f>
        <v>1.7958015200236968</v>
      </c>
      <c r="FJ206" s="110">
        <f>IF(SeilBeregnet=0,"-",FJ$7*(FL:FL+FJ$6)*FO:FO*PropF+ErfaringsF+Dyp_F)</f>
        <v>0.99844750628555179</v>
      </c>
      <c r="FK206" s="144">
        <f t="shared" si="1677"/>
        <v>-7.0750460067772858</v>
      </c>
      <c r="FL206" s="110">
        <f>(FM:FM*FN:FN)^FL$3</f>
        <v>6.845590846193101</v>
      </c>
      <c r="FM206" s="136">
        <f t="shared" ref="FM206:FM227" si="1710">IF(SeilBeregnet=0,FM205,(SeilBeregnet^0.5/(Depl^0.3333))^FM$3)</f>
        <v>3.8881947276563618</v>
      </c>
      <c r="FN206" s="136">
        <f t="shared" ref="FN206:FN227" si="1711">IF(SeilBeregnet=0,FN205,(Loa/Bredde)^FN$3)</f>
        <v>1.7606090552772629</v>
      </c>
      <c r="FO206" s="110">
        <f t="shared" ref="FO206:FO227" si="1712">IF(SeilBeregnet=0,FO205,Lwl^FO$3)</f>
        <v>1.7958015200236968</v>
      </c>
      <c r="FQ206" s="374">
        <v>1</v>
      </c>
      <c r="FR206" s="64">
        <f t="shared" si="1678"/>
        <v>1.3024366612366025</v>
      </c>
      <c r="FS206" s="479"/>
      <c r="FT206" s="18"/>
      <c r="FU206" s="481"/>
      <c r="FV206" s="504"/>
      <c r="FW206" s="18"/>
      <c r="FX206" s="18"/>
      <c r="FY206" s="18"/>
      <c r="FZ206" s="18"/>
      <c r="GB206" s="18"/>
      <c r="GC206" s="481"/>
      <c r="GD206" s="8"/>
      <c r="GE206" s="8"/>
      <c r="GF206" s="8"/>
      <c r="GG206" s="8"/>
      <c r="GI206" s="18"/>
      <c r="GJ206" s="18"/>
      <c r="GK206" s="18"/>
      <c r="GL206" s="18"/>
      <c r="GM206" s="18"/>
      <c r="GN206" s="18"/>
      <c r="GO206" s="18"/>
      <c r="GP206" s="18"/>
    </row>
    <row r="207" spans="1:198" ht="15.6" x14ac:dyDescent="0.3">
      <c r="A207" s="62" t="s">
        <v>67</v>
      </c>
      <c r="B207" s="223"/>
      <c r="C207" s="63" t="str">
        <f t="shared" ref="C207:C208" si="1713">C206</f>
        <v>Bermuda</v>
      </c>
      <c r="D207" s="63"/>
      <c r="E207" s="63"/>
      <c r="F207" s="63"/>
      <c r="G207" s="56"/>
      <c r="H207" s="209">
        <f>TBFavrundet</f>
        <v>94.5</v>
      </c>
      <c r="I207" s="65">
        <f>COUNTA(O207:AD207)</f>
        <v>4</v>
      </c>
      <c r="J207" s="228">
        <f>SUM(O207:AD207)</f>
        <v>91.2</v>
      </c>
      <c r="K207" s="119">
        <f>Seilareal/Depl^0.667/K$7</f>
        <v>1.1699560497143711</v>
      </c>
      <c r="L207" s="119">
        <f>Seilareal/Lwl/Lwl/L$7</f>
        <v>1.2793964270112954</v>
      </c>
      <c r="M207" s="95">
        <f>RiggF</f>
        <v>0.90049342105263153</v>
      </c>
      <c r="N207" s="265">
        <f>StHfaktor</f>
        <v>1.032188300975974</v>
      </c>
      <c r="O207" s="147"/>
      <c r="P207" s="147"/>
      <c r="Q207" s="169">
        <v>25.7</v>
      </c>
      <c r="R207" s="147"/>
      <c r="S207" s="147"/>
      <c r="T207" s="169">
        <v>18</v>
      </c>
      <c r="U207" s="148"/>
      <c r="V207" s="148"/>
      <c r="W207" s="148"/>
      <c r="X207" s="148"/>
      <c r="Y207" s="147"/>
      <c r="Z207" s="147"/>
      <c r="AA207" s="147"/>
      <c r="AB207" s="169">
        <v>32.799999999999997</v>
      </c>
      <c r="AC207" s="169"/>
      <c r="AD207" s="169">
        <v>14.7</v>
      </c>
      <c r="AE207" s="260">
        <f t="shared" ref="AE207" si="1714">AE206</f>
        <v>13.4</v>
      </c>
      <c r="AF207" s="375">
        <f t="shared" si="1680"/>
        <v>0</v>
      </c>
      <c r="AG207" s="377"/>
      <c r="AH207" s="375">
        <f t="shared" si="1680"/>
        <v>0</v>
      </c>
      <c r="AI207" s="377"/>
      <c r="AJ207" s="295" t="str">
        <f t="shared" ref="AJ207" si="1715" xml:space="preserve"> AJ206</f>
        <v>Los</v>
      </c>
      <c r="AK207" s="47">
        <f>VLOOKUP(AJ207,Skrogform!$1:$1048576,3,FALSE)</f>
        <v>0.97</v>
      </c>
      <c r="AL207" s="66">
        <f t="shared" ref="AL207:AR207" si="1716">AL206</f>
        <v>12.12</v>
      </c>
      <c r="AM207" s="66">
        <f t="shared" si="1716"/>
        <v>10.4</v>
      </c>
      <c r="AN207" s="66">
        <f t="shared" si="1716"/>
        <v>3.91</v>
      </c>
      <c r="AO207" s="66">
        <f t="shared" si="1716"/>
        <v>2.15</v>
      </c>
      <c r="AP207" s="66">
        <f t="shared" si="1716"/>
        <v>19</v>
      </c>
      <c r="AQ207" s="66">
        <f t="shared" si="1716"/>
        <v>5.5</v>
      </c>
      <c r="AR207" s="66">
        <f t="shared" si="1716"/>
        <v>2</v>
      </c>
      <c r="AS207" s="284">
        <f t="shared" si="1682"/>
        <v>50</v>
      </c>
      <c r="AT207" s="284">
        <f t="shared" si="1682"/>
        <v>400</v>
      </c>
      <c r="AU207" s="284">
        <f t="shared" ref="AU207:AV207" si="1717">AU206</f>
        <v>200</v>
      </c>
      <c r="AV207" s="284">
        <f t="shared" si="1717"/>
        <v>200</v>
      </c>
      <c r="AW207" s="284"/>
      <c r="AX207" s="284">
        <f>AX206</f>
        <v>0</v>
      </c>
      <c r="AY207" s="68"/>
      <c r="AZ207" s="68"/>
      <c r="BA207" s="289"/>
      <c r="BB207" s="68"/>
      <c r="BC207" s="179"/>
      <c r="BD207" s="68"/>
      <c r="BE207" s="68"/>
      <c r="BF207" s="67" t="str">
        <f t="shared" ref="BF207:BH207" si="1718" xml:space="preserve"> BF206</f>
        <v>Fast</v>
      </c>
      <c r="BG207" s="295">
        <f t="shared" si="1718"/>
        <v>2</v>
      </c>
      <c r="BH207" s="295">
        <f t="shared" si="1718"/>
        <v>60</v>
      </c>
      <c r="BI207" s="47">
        <f t="shared" si="1662"/>
        <v>0.98584886704270647</v>
      </c>
      <c r="BJ207" s="61"/>
      <c r="BK207" s="61"/>
      <c r="BM207" s="51">
        <f t="shared" si="1685"/>
        <v>0</v>
      </c>
      <c r="BN207" s="51">
        <f t="shared" si="1685"/>
        <v>0</v>
      </c>
      <c r="BO207" s="51">
        <f t="shared" si="1685"/>
        <v>25.7</v>
      </c>
      <c r="BP207" s="51">
        <f t="shared" si="1685"/>
        <v>0</v>
      </c>
      <c r="BQ207" s="51">
        <f t="shared" si="1685"/>
        <v>0</v>
      </c>
      <c r="BR207" s="51">
        <f t="shared" si="1685"/>
        <v>18</v>
      </c>
      <c r="BS207" s="52">
        <f>IF(COUNT(P207:T207)&gt;1,MINA(P207:T207)*BS$9,0)</f>
        <v>-5.3999999999999995</v>
      </c>
      <c r="BT207" s="88">
        <f t="shared" si="1686"/>
        <v>0</v>
      </c>
      <c r="BU207" s="88">
        <f t="shared" si="1686"/>
        <v>0</v>
      </c>
      <c r="BV207" s="88">
        <f t="shared" si="1686"/>
        <v>0</v>
      </c>
      <c r="BW207" s="88">
        <f t="shared" si="1686"/>
        <v>0</v>
      </c>
      <c r="BX207" s="88">
        <f t="shared" si="1686"/>
        <v>0</v>
      </c>
      <c r="BY207" s="88">
        <f t="shared" si="1686"/>
        <v>0</v>
      </c>
      <c r="BZ207" s="88">
        <f t="shared" si="1686"/>
        <v>0</v>
      </c>
      <c r="CA207" s="88">
        <f t="shared" si="1686"/>
        <v>32.799999999999997</v>
      </c>
      <c r="CB207" s="88">
        <f t="shared" si="1686"/>
        <v>0</v>
      </c>
      <c r="CC207" s="88">
        <f t="shared" si="1686"/>
        <v>11.024999999999999</v>
      </c>
      <c r="CD207" s="103">
        <f>SUM(BM207:CC207)</f>
        <v>82.125</v>
      </c>
      <c r="CE207" s="52"/>
      <c r="CF207" s="109">
        <f>J207</f>
        <v>91.2</v>
      </c>
      <c r="CG207" s="104">
        <f>CD207/CF207</f>
        <v>0.90049342105263153</v>
      </c>
      <c r="CH207" s="53">
        <f>Seilareal/Lwl/Lwl</f>
        <v>0.84319526627218944</v>
      </c>
      <c r="CI207" s="119">
        <f>Seilareal/Depl^0.667/K$7</f>
        <v>1.1699560497143711</v>
      </c>
      <c r="CJ207" s="53">
        <f>Seilareal/Lwl/Lwl/SApRS1</f>
        <v>1.2793964270112954</v>
      </c>
      <c r="CK207" s="209"/>
      <c r="CL207" s="209">
        <f>(ROUND(TBF/CL$6,3)*CL$6)*CL$4</f>
        <v>94.5</v>
      </c>
      <c r="CM207" s="110">
        <f t="shared" si="1189"/>
        <v>0.94521369496206065</v>
      </c>
      <c r="CN207" s="64">
        <f>IF(SeilBeregnet=0,"-",(SeilBeregnet)^(1/2)*StHfaktor/(Depl+DeplTillegg/1000+Vann/1000+Diesel/1000*0.84)^(1/3))</f>
        <v>3.4712120422615431</v>
      </c>
      <c r="CO207" s="64">
        <f t="shared" si="1140"/>
        <v>1.6969959918689959</v>
      </c>
      <c r="CP207" s="64">
        <f t="shared" si="1141"/>
        <v>1.7958015200236968</v>
      </c>
      <c r="CQ207" s="110">
        <f t="shared" si="1142"/>
        <v>1.032188300975974</v>
      </c>
      <c r="CR207" s="172" t="str">
        <f t="shared" si="1563"/>
        <v>-</v>
      </c>
      <c r="CS207" s="162"/>
      <c r="CT207" s="172" t="str">
        <f t="shared" si="1660"/>
        <v>-</v>
      </c>
      <c r="CU207" s="164"/>
      <c r="CV207" s="195" t="s">
        <v>145</v>
      </c>
      <c r="CW207" s="64">
        <v>0.89</v>
      </c>
      <c r="CX207" s="64">
        <v>0.88</v>
      </c>
      <c r="CY207" s="64">
        <v>0.92</v>
      </c>
      <c r="CZ207" s="154">
        <v>0.95</v>
      </c>
      <c r="DA207" s="64">
        <f t="shared" si="1663"/>
        <v>2.1825047202710279</v>
      </c>
      <c r="DB207" s="49">
        <f t="shared" si="1664"/>
        <v>14.043109079033311</v>
      </c>
      <c r="DC207" s="50">
        <f t="shared" si="1665"/>
        <v>0</v>
      </c>
      <c r="DE207" s="110">
        <f>IF(SeilBeregnet=0,"-",DE$7*(DG:DG+DE$6)*DL:DL*PropF+ErfaringsF+Dyp_F)</f>
        <v>0.92213544822115079</v>
      </c>
      <c r="DF207" s="144">
        <f t="shared" si="1666"/>
        <v>-5.2311659987159143</v>
      </c>
      <c r="DG207" s="110">
        <f t="shared" si="1667"/>
        <v>5.1570894812939532</v>
      </c>
      <c r="DH207" s="136">
        <f>IF(SeilBeregnet=0,DH206,(SeilBeregnet^0.5/(Depl^0.3333))^DH$3*DH$7)</f>
        <v>3.3964804260166899</v>
      </c>
      <c r="DI207" s="136">
        <f>IF(SeilBeregnet=0,DI206,(SeilBeregnet^0.5/Lwl)^DI$3*DI$7)</f>
        <v>0</v>
      </c>
      <c r="DJ207" s="136">
        <f>IF(SeilBeregnet=0,DJ206,(0.1*Loa/Depl^0.3333)^DJ$3*DJ$7)</f>
        <v>0</v>
      </c>
      <c r="DK207" s="136">
        <f>IF(SeilBeregnet=0,DK206,((Loa)/Bredde)^DK$3*DK$7)</f>
        <v>1.7606090552772629</v>
      </c>
      <c r="DL207" s="110">
        <f>IF(SeilBeregnet=0,DL206,(Lwl)^DL$3)</f>
        <v>1.7958015200236968</v>
      </c>
      <c r="DM207" s="136">
        <f>IF(SeilBeregnet=0,DM206,(Dypg/Loa)^DM$3*5*DM$7)</f>
        <v>2.1059008718000438</v>
      </c>
      <c r="DO207" s="110">
        <f t="shared" si="669"/>
        <v>0.97444710820830993</v>
      </c>
      <c r="DP207" s="110">
        <f t="shared" si="1668"/>
        <v>0.95829290313313698</v>
      </c>
      <c r="DQ207" s="125">
        <f>DP207-DO207</f>
        <v>-1.6154205075172956E-2</v>
      </c>
      <c r="DR207" s="110">
        <f t="shared" si="1669"/>
        <v>0.94019584835472148</v>
      </c>
      <c r="DS207" s="125">
        <f t="shared" si="1670"/>
        <v>-3.4251259853588456E-2</v>
      </c>
      <c r="DT207" s="110">
        <f t="shared" si="1671"/>
        <v>0.93503732321832478</v>
      </c>
      <c r="DU207" s="125">
        <f t="shared" si="1672"/>
        <v>-3.9409784989985153E-2</v>
      </c>
      <c r="DV207" s="110">
        <f t="shared" si="1687"/>
        <v>3.3961804173864913</v>
      </c>
      <c r="DW207" s="110">
        <f t="shared" si="1688"/>
        <v>2.1826153840929692</v>
      </c>
      <c r="DX207" s="110">
        <f t="shared" si="1689"/>
        <v>1.5491658229492145</v>
      </c>
      <c r="DZ207" s="110">
        <f t="shared" si="1673"/>
        <v>0.92993984735048807</v>
      </c>
      <c r="EB207" s="110">
        <f t="shared" si="1690"/>
        <v>3.3961804173864913</v>
      </c>
      <c r="EC207" s="110">
        <f t="shared" si="1691"/>
        <v>2.182768727320779</v>
      </c>
      <c r="ED207" s="110">
        <f t="shared" si="1692"/>
        <v>1.7924148356616389</v>
      </c>
      <c r="EE207" s="110">
        <f t="shared" si="1674"/>
        <v>0.92549288745384373</v>
      </c>
      <c r="EG207" s="110">
        <f t="shared" si="1693"/>
        <v>5.2612466311845507</v>
      </c>
      <c r="EH207" s="110">
        <f t="shared" si="1694"/>
        <v>3.3961804173864913</v>
      </c>
      <c r="EI207" s="110">
        <f t="shared" si="1695"/>
        <v>1.5491658229492145</v>
      </c>
      <c r="EJ207" s="110">
        <f t="shared" si="1696"/>
        <v>1.7958015200236968</v>
      </c>
      <c r="EK207" s="110">
        <f>IF(SeilBeregnet=0,"-",EK$7*(EK$4*EM:EM+EK$6)*EP:EP*PropF+ErfaringsF+Dyp_F)</f>
        <v>0.92776521623569752</v>
      </c>
      <c r="EM207" s="110">
        <f>IF(SeilBeregnet=0,EM206,(EN:EN*EO:EO)^EM$3)</f>
        <v>1.8334768214336117</v>
      </c>
      <c r="EN207" s="110">
        <f t="shared" si="1697"/>
        <v>3.3961804173864913</v>
      </c>
      <c r="EO207" s="110">
        <f t="shared" si="1698"/>
        <v>0.98982881990740235</v>
      </c>
      <c r="EP207" s="110">
        <f t="shared" si="1699"/>
        <v>1.8176735255279128</v>
      </c>
      <c r="EQ207" s="110">
        <f>IF(SeilBeregnet=0,"-",EQ$7*(ES:ES+EQ$6)*EV:EV*PropF+ErfaringsF+Dyp_F)</f>
        <v>0.89908094103839364</v>
      </c>
      <c r="ES207" s="110">
        <f>(ET:ET*EU:EU)^ES$3</f>
        <v>1.8335578016312142</v>
      </c>
      <c r="ET207" s="110">
        <f t="shared" si="1700"/>
        <v>3.3964804260166899</v>
      </c>
      <c r="EU207" s="110">
        <f t="shared" si="1701"/>
        <v>0.98982881990740235</v>
      </c>
      <c r="EV207" s="110">
        <f t="shared" si="1702"/>
        <v>1.8176735255279128</v>
      </c>
      <c r="EW207" s="110">
        <f>IF(SeilBeregnet=0,"-",EW$7*(EY:EY+EW$6)*FB:FB*PropF+ErfaringsF+Dyp_F)</f>
        <v>0.91804782356521586</v>
      </c>
      <c r="EX207" s="144">
        <f t="shared" si="1675"/>
        <v>-5.6399284643094072</v>
      </c>
      <c r="EY207" s="110">
        <f>(EZ:EZ*FA:FA)^EY$3</f>
        <v>3.3277393735937606</v>
      </c>
      <c r="EZ207" s="136">
        <f t="shared" si="1703"/>
        <v>3.3964804260166899</v>
      </c>
      <c r="FA207" s="136">
        <f t="shared" si="1704"/>
        <v>0.9797610927192808</v>
      </c>
      <c r="FB207" s="110">
        <f t="shared" si="1705"/>
        <v>1.0221529391087805</v>
      </c>
      <c r="FC207" s="110">
        <f>IF(SeilBeregnet=0,"-",FC$7*(FE:FE+FC$6)*FI:FI*PropF+ErfaringsF+Dyp_F)</f>
        <v>0.93960282972886477</v>
      </c>
      <c r="FD207" s="144">
        <f t="shared" si="1676"/>
        <v>-3.4844278479445157</v>
      </c>
      <c r="FE207" s="110">
        <f>(FF:FF+FG:FG+FH:FH)^FE$3+FE$7</f>
        <v>5.5284629890050994</v>
      </c>
      <c r="FF207" s="136">
        <f t="shared" si="1706"/>
        <v>3.3964804260166899</v>
      </c>
      <c r="FG207" s="136">
        <f t="shared" si="1707"/>
        <v>0.87137350771114697</v>
      </c>
      <c r="FH207" s="136">
        <f t="shared" si="1708"/>
        <v>1.7606090552772629</v>
      </c>
      <c r="FI207" s="110">
        <f t="shared" si="1709"/>
        <v>1.7958015200236968</v>
      </c>
      <c r="FJ207" s="110">
        <f>IF(SeilBeregnet=0,"-",FJ$7*(FL:FL+FJ$6)*FO:FO*PropF+ErfaringsF+Dyp_F)</f>
        <v>0.91874943868615477</v>
      </c>
      <c r="FK207" s="144">
        <f t="shared" si="1677"/>
        <v>-5.5697669522155158</v>
      </c>
      <c r="FL207" s="110">
        <f>(FM:FM*FN:FN)^FL$3</f>
        <v>5.9798741941169595</v>
      </c>
      <c r="FM207" s="136">
        <f t="shared" si="1710"/>
        <v>3.3964804260166899</v>
      </c>
      <c r="FN207" s="136">
        <f t="shared" si="1711"/>
        <v>1.7606090552772629</v>
      </c>
      <c r="FO207" s="110">
        <f t="shared" si="1712"/>
        <v>1.7958015200236968</v>
      </c>
      <c r="FQ207" s="374">
        <v>1</v>
      </c>
      <c r="FR207" s="64">
        <f t="shared" si="1678"/>
        <v>1.2198551289395234</v>
      </c>
      <c r="FS207" s="479"/>
      <c r="FT207" s="18"/>
      <c r="FU207" s="481"/>
      <c r="FV207" s="504"/>
      <c r="FW207" s="18"/>
      <c r="FX207" s="18"/>
      <c r="FY207" s="18"/>
      <c r="FZ207" s="18"/>
      <c r="GB207" s="18"/>
      <c r="GC207" s="481"/>
      <c r="GD207" s="8"/>
      <c r="GE207" s="8"/>
      <c r="GF207" s="8"/>
      <c r="GG207" s="8"/>
      <c r="GI207" s="18"/>
      <c r="GJ207" s="18"/>
      <c r="GK207" s="18"/>
      <c r="GL207" s="18"/>
      <c r="GM207" s="18"/>
      <c r="GN207" s="18"/>
      <c r="GO207" s="18"/>
      <c r="GP207" s="18"/>
    </row>
    <row r="208" spans="1:198" ht="15.6" x14ac:dyDescent="0.3">
      <c r="A208" s="62" t="s">
        <v>36</v>
      </c>
      <c r="B208" s="223"/>
      <c r="C208" s="63" t="str">
        <f t="shared" si="1713"/>
        <v>Bermuda</v>
      </c>
      <c r="D208" s="63"/>
      <c r="E208" s="63"/>
      <c r="F208" s="63"/>
      <c r="G208" s="56"/>
      <c r="H208" s="209">
        <f>TBFavrundet</f>
        <v>81</v>
      </c>
      <c r="I208" s="65">
        <f>COUNTA(O208:AD208)</f>
        <v>2</v>
      </c>
      <c r="J208" s="228">
        <f>SUM(O208:AD208)</f>
        <v>50.8</v>
      </c>
      <c r="K208" s="119">
        <f>Seilareal/Depl^0.667/K$7</f>
        <v>0.65168604523563634</v>
      </c>
      <c r="L208" s="119">
        <f>Seilareal/Lwl/Lwl/L$7</f>
        <v>0.71264625539664239</v>
      </c>
      <c r="M208" s="95">
        <f>RiggF</f>
        <v>1</v>
      </c>
      <c r="N208" s="265">
        <f>StHfaktor</f>
        <v>1.032188300975974</v>
      </c>
      <c r="O208" s="147"/>
      <c r="P208" s="147"/>
      <c r="Q208" s="147"/>
      <c r="R208" s="147"/>
      <c r="S208" s="147"/>
      <c r="T208" s="169">
        <v>18</v>
      </c>
      <c r="U208" s="148"/>
      <c r="V208" s="148"/>
      <c r="W208" s="148"/>
      <c r="X208" s="148"/>
      <c r="Y208" s="147"/>
      <c r="Z208" s="147"/>
      <c r="AA208" s="147"/>
      <c r="AB208" s="169">
        <v>32.799999999999997</v>
      </c>
      <c r="AC208" s="147"/>
      <c r="AD208" s="148"/>
      <c r="AE208" s="260">
        <f t="shared" ref="AE208" si="1719">AE207</f>
        <v>13.4</v>
      </c>
      <c r="AF208" s="375">
        <f t="shared" si="1680"/>
        <v>0</v>
      </c>
      <c r="AG208" s="377"/>
      <c r="AH208" s="375">
        <f t="shared" si="1680"/>
        <v>0</v>
      </c>
      <c r="AI208" s="377"/>
      <c r="AJ208" s="295" t="str">
        <f t="shared" ref="AJ208" si="1720" xml:space="preserve"> AJ207</f>
        <v>Los</v>
      </c>
      <c r="AK208" s="47">
        <f>VLOOKUP(AJ208,Skrogform!$1:$1048576,3,FALSE)</f>
        <v>0.97</v>
      </c>
      <c r="AL208" s="66">
        <f t="shared" ref="AL208:AR208" si="1721">AL207</f>
        <v>12.12</v>
      </c>
      <c r="AM208" s="66">
        <f t="shared" si="1721"/>
        <v>10.4</v>
      </c>
      <c r="AN208" s="66">
        <f t="shared" si="1721"/>
        <v>3.91</v>
      </c>
      <c r="AO208" s="66">
        <f t="shared" si="1721"/>
        <v>2.15</v>
      </c>
      <c r="AP208" s="66">
        <f t="shared" si="1721"/>
        <v>19</v>
      </c>
      <c r="AQ208" s="66">
        <f t="shared" si="1721"/>
        <v>5.5</v>
      </c>
      <c r="AR208" s="66">
        <f t="shared" si="1721"/>
        <v>2</v>
      </c>
      <c r="AS208" s="284">
        <f t="shared" si="1682"/>
        <v>50</v>
      </c>
      <c r="AT208" s="284">
        <f t="shared" si="1682"/>
        <v>400</v>
      </c>
      <c r="AU208" s="284">
        <f t="shared" ref="AU208:AV208" si="1722">AU207</f>
        <v>200</v>
      </c>
      <c r="AV208" s="284">
        <f t="shared" si="1722"/>
        <v>200</v>
      </c>
      <c r="AW208" s="284"/>
      <c r="AX208" s="284">
        <f>AX207</f>
        <v>0</v>
      </c>
      <c r="AY208" s="68"/>
      <c r="AZ208" s="68"/>
      <c r="BA208" s="289"/>
      <c r="BB208" s="68"/>
      <c r="BC208" s="179"/>
      <c r="BD208" s="68"/>
      <c r="BE208" s="68"/>
      <c r="BF208" s="67" t="str">
        <f t="shared" ref="BF208:BH208" si="1723" xml:space="preserve"> BF207</f>
        <v>Fast</v>
      </c>
      <c r="BG208" s="295">
        <f t="shared" si="1723"/>
        <v>2</v>
      </c>
      <c r="BH208" s="295">
        <f t="shared" si="1723"/>
        <v>60</v>
      </c>
      <c r="BI208" s="47">
        <f t="shared" si="1662"/>
        <v>0.98584886704270647</v>
      </c>
      <c r="BJ208" s="61"/>
      <c r="BK208" s="61"/>
      <c r="BM208" s="51">
        <f t="shared" si="1685"/>
        <v>0</v>
      </c>
      <c r="BN208" s="51">
        <f t="shared" si="1685"/>
        <v>0</v>
      </c>
      <c r="BO208" s="51">
        <f t="shared" si="1685"/>
        <v>0</v>
      </c>
      <c r="BP208" s="51">
        <f t="shared" si="1685"/>
        <v>0</v>
      </c>
      <c r="BQ208" s="51">
        <f t="shared" si="1685"/>
        <v>0</v>
      </c>
      <c r="BR208" s="51">
        <f t="shared" si="1685"/>
        <v>18</v>
      </c>
      <c r="BS208" s="52">
        <f>IF(COUNT(P208:T208)&gt;1,MINA(P208:T208)*BS$9,0)</f>
        <v>0</v>
      </c>
      <c r="BT208" s="88">
        <f t="shared" si="1686"/>
        <v>0</v>
      </c>
      <c r="BU208" s="88">
        <f t="shared" si="1686"/>
        <v>0</v>
      </c>
      <c r="BV208" s="88">
        <f t="shared" si="1686"/>
        <v>0</v>
      </c>
      <c r="BW208" s="88">
        <f t="shared" si="1686"/>
        <v>0</v>
      </c>
      <c r="BX208" s="88">
        <f t="shared" si="1686"/>
        <v>0</v>
      </c>
      <c r="BY208" s="88">
        <f t="shared" si="1686"/>
        <v>0</v>
      </c>
      <c r="BZ208" s="88">
        <f t="shared" si="1686"/>
        <v>0</v>
      </c>
      <c r="CA208" s="88">
        <f t="shared" si="1686"/>
        <v>32.799999999999997</v>
      </c>
      <c r="CB208" s="88">
        <f t="shared" si="1686"/>
        <v>0</v>
      </c>
      <c r="CC208" s="88">
        <f t="shared" si="1686"/>
        <v>0</v>
      </c>
      <c r="CD208" s="103">
        <f>SUM(BM208:CC208)</f>
        <v>50.8</v>
      </c>
      <c r="CE208" s="52"/>
      <c r="CF208" s="109">
        <f>J208</f>
        <v>50.8</v>
      </c>
      <c r="CG208" s="104">
        <f>CD208/CF208</f>
        <v>1</v>
      </c>
      <c r="CH208" s="53">
        <f>Seilareal/Lwl/Lwl</f>
        <v>0.46967455621301768</v>
      </c>
      <c r="CI208" s="119">
        <f>Seilareal/Depl^0.667/K$7</f>
        <v>0.65168604523563634</v>
      </c>
      <c r="CJ208" s="53">
        <f>Seilareal/Lwl/Lwl/SApRS1</f>
        <v>0.71264625539664239</v>
      </c>
      <c r="CK208" s="209"/>
      <c r="CL208" s="209">
        <f>(ROUND(TBF/CL$6,3)*CL$6)*CL$4</f>
        <v>81</v>
      </c>
      <c r="CM208" s="110">
        <f t="shared" si="1189"/>
        <v>0.80966796294937471</v>
      </c>
      <c r="CN208" s="64">
        <f>IF(SeilBeregnet=0,"-",(SeilBeregnet)^(1/2)*StHfaktor/(Depl+DeplTillegg/1000+Vann/1000+Diesel/1000*0.84)^(1/3))</f>
        <v>2.7300795926220083</v>
      </c>
      <c r="CO208" s="64">
        <f t="shared" si="1140"/>
        <v>1.6969959918689959</v>
      </c>
      <c r="CP208" s="64">
        <f t="shared" si="1141"/>
        <v>1.7958015200236968</v>
      </c>
      <c r="CQ208" s="110">
        <f t="shared" si="1142"/>
        <v>1.032188300975974</v>
      </c>
      <c r="CR208" s="172" t="str">
        <f t="shared" si="1563"/>
        <v>-</v>
      </c>
      <c r="CS208" s="162"/>
      <c r="CT208" s="172" t="str">
        <f t="shared" si="1660"/>
        <v>-</v>
      </c>
      <c r="CU208" s="164"/>
      <c r="CV208" s="195" t="s">
        <v>145</v>
      </c>
      <c r="CW208" s="64">
        <v>0.75</v>
      </c>
      <c r="CX208" s="64">
        <v>0.79</v>
      </c>
      <c r="CY208" s="64">
        <v>0.78</v>
      </c>
      <c r="CZ208" s="154">
        <v>0.81</v>
      </c>
      <c r="DA208" s="64">
        <f t="shared" si="1663"/>
        <v>2.1825047202710279</v>
      </c>
      <c r="DB208" s="49">
        <f t="shared" si="1664"/>
        <v>14.043109079033311</v>
      </c>
      <c r="DC208" s="50">
        <f t="shared" si="1665"/>
        <v>0</v>
      </c>
      <c r="DE208" s="110">
        <f>IF(SeilBeregnet=0,"-",DE$7*(DG:DG+DE$6)*DL:DL*PropF+ErfaringsF+Dyp_F)</f>
        <v>0.79246713799443858</v>
      </c>
      <c r="DF208" s="144" t="str">
        <f t="shared" si="1666"/>
        <v>-</v>
      </c>
      <c r="DG208" s="110">
        <f t="shared" si="1667"/>
        <v>4.4319128491437425</v>
      </c>
      <c r="DH208" s="136">
        <f>IF(SeilBeregnet=0,DH207,(SeilBeregnet^0.5/(Depl^0.3333))^DH$3*DH$7)</f>
        <v>2.6713037938664796</v>
      </c>
      <c r="DI208" s="136">
        <f>IF(SeilBeregnet=0,DI207,(SeilBeregnet^0.5/Lwl)^DI$3*DI$7)</f>
        <v>0</v>
      </c>
      <c r="DJ208" s="136">
        <f>IF(SeilBeregnet=0,DJ207,(0.1*Loa/Depl^0.3333)^DJ$3*DJ$7)</f>
        <v>0</v>
      </c>
      <c r="DK208" s="136">
        <f>IF(SeilBeregnet=0,DK207,((Loa)/Bredde)^DK$3*DK$7)</f>
        <v>1.7606090552772629</v>
      </c>
      <c r="DL208" s="110">
        <f>IF(SeilBeregnet=0,DL207,(Lwl)^DL$3)</f>
        <v>1.7958015200236968</v>
      </c>
      <c r="DM208" s="136">
        <f>IF(SeilBeregnet=0,DM207,(Dypg/Loa)^DM$3*5*DM$7)</f>
        <v>2.1059008718000438</v>
      </c>
      <c r="DO208" s="110">
        <f t="shared" si="669"/>
        <v>0.83470924015399461</v>
      </c>
      <c r="DP208" s="110">
        <f t="shared" si="1668"/>
        <v>0.79581712362008039</v>
      </c>
      <c r="DR208" s="110">
        <f t="shared" si="1669"/>
        <v>0.81117948896066583</v>
      </c>
      <c r="DS208" s="125" t="str">
        <f t="shared" si="1670"/>
        <v>-</v>
      </c>
      <c r="DT208" s="110">
        <f t="shared" si="1671"/>
        <v>0.78356669644262977</v>
      </c>
      <c r="DU208" s="125" t="str">
        <f t="shared" si="1672"/>
        <v>-</v>
      </c>
      <c r="DV208" s="110">
        <f t="shared" si="1687"/>
        <v>2.6710678395574532</v>
      </c>
      <c r="DW208" s="110">
        <f t="shared" si="1688"/>
        <v>2.1826153840929692</v>
      </c>
      <c r="DX208" s="110">
        <f t="shared" si="1689"/>
        <v>1.5491658229492145</v>
      </c>
      <c r="DZ208" s="110">
        <f t="shared" si="1673"/>
        <v>0.79376404343642493</v>
      </c>
      <c r="EB208" s="110">
        <f t="shared" si="1690"/>
        <v>2.6710678395574532</v>
      </c>
      <c r="EC208" s="110">
        <f t="shared" si="1691"/>
        <v>2.182768727320779</v>
      </c>
      <c r="ED208" s="110">
        <f t="shared" si="1692"/>
        <v>1.7924148356616389</v>
      </c>
      <c r="EE208" s="110">
        <f t="shared" si="1674"/>
        <v>0.78231852985865058</v>
      </c>
      <c r="EG208" s="110">
        <f t="shared" si="1693"/>
        <v>4.1379270078212027</v>
      </c>
      <c r="EH208" s="110">
        <f t="shared" si="1694"/>
        <v>2.6710678395574532</v>
      </c>
      <c r="EI208" s="110">
        <f t="shared" si="1695"/>
        <v>1.5491658229492145</v>
      </c>
      <c r="EJ208" s="110">
        <f t="shared" si="1696"/>
        <v>1.7958015200236968</v>
      </c>
      <c r="EK208" s="110">
        <f>IF(SeilBeregnet=0,"-",EK$7*(EK$4*EM:EM+EK$6)*EP:EP*PropF+ErfaringsF+Dyp_F)</f>
        <v>0.78341853639513293</v>
      </c>
      <c r="EM208" s="110">
        <f>IF(SeilBeregnet=0,EM207,(EN:EN*EO:EO)^EM$3)</f>
        <v>1.6260073577698744</v>
      </c>
      <c r="EN208" s="110">
        <f t="shared" si="1697"/>
        <v>2.6710678395574532</v>
      </c>
      <c r="EO208" s="110">
        <f t="shared" si="1698"/>
        <v>0.98982881990740235</v>
      </c>
      <c r="EP208" s="110">
        <f t="shared" si="1699"/>
        <v>1.8176735255279128</v>
      </c>
      <c r="EQ208" s="110">
        <f>IF(SeilBeregnet=0,"-",EQ$7*(ES:ES+EQ$6)*EV:EV*PropF+ErfaringsF+Dyp_F)</f>
        <v>0.79734426324299479</v>
      </c>
      <c r="ES208" s="110">
        <f>(ET:ET*EU:EU)^ES$3</f>
        <v>1.6260791745474832</v>
      </c>
      <c r="ET208" s="110">
        <f t="shared" si="1700"/>
        <v>2.6713037938664796</v>
      </c>
      <c r="EU208" s="110">
        <f t="shared" si="1701"/>
        <v>0.98982881990740235</v>
      </c>
      <c r="EV208" s="110">
        <f t="shared" si="1702"/>
        <v>1.8176735255279128</v>
      </c>
      <c r="EW208" s="110">
        <f>IF(SeilBeregnet=0,"-",EW$7*(EY:EY+EW$6)*FB:FB*PropF+ErfaringsF+Dyp_F)</f>
        <v>0.79561825357962035</v>
      </c>
      <c r="EX208" s="144" t="str">
        <f t="shared" si="1675"/>
        <v>-</v>
      </c>
      <c r="EY208" s="110">
        <f>(EZ:EZ*FA:FA)^EY$3</f>
        <v>2.6172395240637827</v>
      </c>
      <c r="EZ208" s="136">
        <f t="shared" si="1703"/>
        <v>2.6713037938664796</v>
      </c>
      <c r="FA208" s="136">
        <f t="shared" si="1704"/>
        <v>0.9797610927192808</v>
      </c>
      <c r="FB208" s="110">
        <f t="shared" si="1705"/>
        <v>1.0221529391087805</v>
      </c>
      <c r="FC208" s="110">
        <f>IF(SeilBeregnet=0,"-",FC$7*(FE:FE+FC$6)*FI:FI*PropF+ErfaringsF+Dyp_F)</f>
        <v>0.78473395531083423</v>
      </c>
      <c r="FD208" s="144" t="str">
        <f t="shared" si="1676"/>
        <v>-</v>
      </c>
      <c r="FE208" s="110">
        <f>(FF:FF+FG:FG+FH:FH)^FE$3+FE$7</f>
        <v>4.6172409138054906</v>
      </c>
      <c r="FF208" s="136">
        <f t="shared" si="1706"/>
        <v>2.6713037938664796</v>
      </c>
      <c r="FG208" s="136">
        <f t="shared" si="1707"/>
        <v>0.68532806466174845</v>
      </c>
      <c r="FH208" s="136">
        <f t="shared" si="1708"/>
        <v>1.7606090552772629</v>
      </c>
      <c r="FI208" s="110">
        <f t="shared" si="1709"/>
        <v>1.7958015200236968</v>
      </c>
      <c r="FJ208" s="110">
        <f>IF(SeilBeregnet=0,"-",FJ$7*(FL:FL+FJ$6)*FO:FO*PropF+ErfaringsF+Dyp_F)</f>
        <v>0.80121131531271084</v>
      </c>
      <c r="FK208" s="144" t="str">
        <f t="shared" si="1677"/>
        <v>-</v>
      </c>
      <c r="FL208" s="110">
        <f>(FM:FM*FN:FN)^FL$3</f>
        <v>4.7031216488778309</v>
      </c>
      <c r="FM208" s="136">
        <f t="shared" si="1710"/>
        <v>2.6713037938664796</v>
      </c>
      <c r="FN208" s="136">
        <f t="shared" si="1711"/>
        <v>1.7606090552772629</v>
      </c>
      <c r="FO208" s="110">
        <f t="shared" si="1712"/>
        <v>1.7958015200236968</v>
      </c>
      <c r="FQ208" s="374">
        <v>1</v>
      </c>
      <c r="FR208" s="64">
        <f t="shared" si="1678"/>
        <v>1.0980644930574617</v>
      </c>
      <c r="FS208" s="479"/>
      <c r="FT208" s="18"/>
      <c r="FU208" s="481"/>
      <c r="FV208" s="504"/>
      <c r="FW208" s="18"/>
      <c r="FX208" s="18"/>
      <c r="FY208" s="18"/>
      <c r="FZ208" s="18"/>
      <c r="GB208" s="18"/>
      <c r="GC208" s="481"/>
      <c r="GD208" s="8"/>
      <c r="GE208" s="8"/>
      <c r="GF208" s="8"/>
      <c r="GG208" s="8"/>
      <c r="GI208" s="18"/>
      <c r="GJ208" s="18"/>
      <c r="GK208" s="18"/>
      <c r="GL208" s="18"/>
      <c r="GM208" s="18"/>
      <c r="GN208" s="18"/>
      <c r="GO208" s="18"/>
      <c r="GP208" s="18"/>
    </row>
    <row r="209" spans="1:198" ht="15.6" x14ac:dyDescent="0.3">
      <c r="A209" s="54" t="s">
        <v>40</v>
      </c>
      <c r="B209" s="223">
        <f t="shared" ref="B209:B223" si="1724">Loa/0.3048</f>
        <v>36.318897637795274</v>
      </c>
      <c r="C209" s="55" t="s">
        <v>41</v>
      </c>
      <c r="D209" s="55"/>
      <c r="E209" s="55"/>
      <c r="F209" s="55"/>
      <c r="G209" s="56" t="s">
        <v>35</v>
      </c>
      <c r="H209" s="209"/>
      <c r="I209" s="126" t="str">
        <f>A209</f>
        <v>Pinta</v>
      </c>
      <c r="J209" s="229"/>
      <c r="K209" s="119"/>
      <c r="L209" s="119"/>
      <c r="M209" s="95"/>
      <c r="N209" s="265"/>
      <c r="O209" s="169"/>
      <c r="P209" s="169">
        <v>43</v>
      </c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>
        <v>22</v>
      </c>
      <c r="AC209" s="169"/>
      <c r="AD209" s="169">
        <v>9.1999999999999993</v>
      </c>
      <c r="AE209" s="270">
        <v>10.4</v>
      </c>
      <c r="AF209" s="296"/>
      <c r="AG209" s="377"/>
      <c r="AH209" s="296"/>
      <c r="AI209" s="377"/>
      <c r="AJ209" s="296" t="s">
        <v>237</v>
      </c>
      <c r="AK209" s="47">
        <f>VLOOKUP(AJ209,Skrogform!$1:$1048576,3,FALSE)</f>
        <v>0.98</v>
      </c>
      <c r="AL209" s="57">
        <v>11.07</v>
      </c>
      <c r="AM209" s="57">
        <v>9.0299999999999994</v>
      </c>
      <c r="AN209" s="57">
        <v>3.35</v>
      </c>
      <c r="AO209" s="57">
        <v>1.6</v>
      </c>
      <c r="AP209" s="57">
        <v>11.7</v>
      </c>
      <c r="AQ209" s="57">
        <v>3</v>
      </c>
      <c r="AR209" s="57">
        <v>0.2</v>
      </c>
      <c r="AS209" s="281">
        <v>50</v>
      </c>
      <c r="AT209" s="281">
        <v>250</v>
      </c>
      <c r="AU209" s="281">
        <f>ROUND(Depl*10,-2)</f>
        <v>100</v>
      </c>
      <c r="AV209" s="281">
        <f>ROUND(Depl*10,-2)</f>
        <v>100</v>
      </c>
      <c r="AW209" s="270">
        <f>Depl+Diesel/1000+Vann/1000</f>
        <v>11.899999999999999</v>
      </c>
      <c r="AX209" s="281"/>
      <c r="AY209" s="98">
        <f>Bredde/(Loa+Lwl)*2</f>
        <v>0.33333333333333331</v>
      </c>
      <c r="AZ209" s="98">
        <f>(Kjøl+Ballast)/Depl</f>
        <v>0.27350427350427353</v>
      </c>
      <c r="BA209" s="288">
        <f>BA$7*((Depl-Kjøl-Ballast-VektMotor/1000-VektAnnet/1000)/Loa/Lwl/Bredde)</f>
        <v>1.0659574850902809</v>
      </c>
      <c r="BB209" s="98">
        <f>BB$7*(Depl/Loa/Lwl/Lwl)</f>
        <v>0.97330935953372355</v>
      </c>
      <c r="BC209" s="178">
        <f>BC$7*(Depl/Loa/Lwl/Bredde)</f>
        <v>0.9697642159348242</v>
      </c>
      <c r="BD209" s="98">
        <f>BD$7*Bredde/(Loa+Lwl)*2</f>
        <v>0.95089605734767024</v>
      </c>
      <c r="BE209" s="98">
        <f>BE$7*(Dypg/Lwl)</f>
        <v>0.96913669411141612</v>
      </c>
      <c r="BF209" s="58" t="s">
        <v>42</v>
      </c>
      <c r="BG209" s="296">
        <v>3</v>
      </c>
      <c r="BH209" s="296">
        <v>35</v>
      </c>
      <c r="BI209" s="47">
        <f t="shared" si="1662"/>
        <v>0.98911776272570606</v>
      </c>
      <c r="BJ209" s="61"/>
      <c r="BK209" s="61"/>
      <c r="BM209" s="214"/>
      <c r="BN209" s="214" t="str">
        <f>$A209</f>
        <v>Pinta</v>
      </c>
      <c r="BO209" s="10"/>
      <c r="BP209" s="10"/>
      <c r="BQ209" s="10"/>
      <c r="BR209" s="10"/>
      <c r="BS209" s="52"/>
      <c r="BT209" s="214" t="str">
        <f>$A209</f>
        <v>Pinta</v>
      </c>
      <c r="BU209" s="10"/>
      <c r="BV209" s="10"/>
      <c r="BW209" s="10"/>
      <c r="BX209" s="10"/>
      <c r="BY209" s="10"/>
      <c r="BZ209" s="10"/>
      <c r="CA209" s="10"/>
      <c r="CB209" s="10"/>
      <c r="CC209" s="10"/>
      <c r="CD209" s="214"/>
      <c r="CE209" s="10"/>
      <c r="CF209" s="214" t="str">
        <f>$A209</f>
        <v>Pinta</v>
      </c>
      <c r="CG209" s="212"/>
      <c r="CH209" s="212"/>
      <c r="CI209" s="119"/>
      <c r="CJ209" s="212"/>
      <c r="CK209" s="208"/>
      <c r="CL209" s="208" t="s">
        <v>26</v>
      </c>
      <c r="CM209" s="110" t="str">
        <f t="shared" si="1189"/>
        <v>-</v>
      </c>
      <c r="CN209" s="64" t="str">
        <f>IF(SeilBeregnet=0,"-",(SeilBeregnet)^(1/2)*StHfaktor/(Depl+DeplTillegg/1000+Vann/1000+Diesel/1000*0.84)^(1/3))</f>
        <v>-</v>
      </c>
      <c r="CO209" s="64" t="str">
        <f t="shared" si="1140"/>
        <v>-</v>
      </c>
      <c r="CP209" s="64" t="str">
        <f t="shared" si="1141"/>
        <v>-</v>
      </c>
      <c r="CQ209" s="110" t="str">
        <f t="shared" si="1142"/>
        <v>-</v>
      </c>
      <c r="CR209" s="172" t="str">
        <f t="shared" si="1563"/>
        <v>-</v>
      </c>
      <c r="CS209" s="162"/>
      <c r="CT209" s="172" t="str">
        <f t="shared" si="1660"/>
        <v>-</v>
      </c>
      <c r="CU209" s="164">
        <v>1.19</v>
      </c>
      <c r="CV209" s="195" t="s">
        <v>145</v>
      </c>
      <c r="CW209" s="30" t="s">
        <v>26</v>
      </c>
      <c r="CX209" s="30" t="s">
        <v>26</v>
      </c>
      <c r="CY209" s="30" t="s">
        <v>26</v>
      </c>
      <c r="CZ209" s="153">
        <v>2022</v>
      </c>
      <c r="DA209" s="64" t="str">
        <f t="shared" si="1663"/>
        <v>-</v>
      </c>
      <c r="DB209" s="49">
        <f t="shared" si="1664"/>
        <v>11.958146487294471</v>
      </c>
      <c r="DC209" s="50">
        <f t="shared" si="1665"/>
        <v>0</v>
      </c>
      <c r="DE209" s="110" t="str">
        <f>IF(SeilBeregnet=0,"-",DE$7*(DG:DG+DE$6)*DL:DL*PropF+ErfaringsF+Dyp_F)</f>
        <v>-</v>
      </c>
      <c r="DF209" s="144" t="str">
        <f t="shared" si="1666"/>
        <v>-</v>
      </c>
      <c r="DG209" s="110" t="e">
        <f t="shared" si="1667"/>
        <v>#REF!</v>
      </c>
      <c r="DH209" s="136" t="e">
        <f>IF(SeilBeregnet=0,#REF!,(SeilBeregnet^0.5/(Depl^0.3333))^DH$3*DH$7)</f>
        <v>#REF!</v>
      </c>
      <c r="DI209" s="136" t="e">
        <f>IF(SeilBeregnet=0,#REF!,(SeilBeregnet^0.5/Lwl)^DI$3*DI$7)</f>
        <v>#REF!</v>
      </c>
      <c r="DJ209" s="136" t="e">
        <f>IF(SeilBeregnet=0,#REF!,(0.1*Loa/Depl^0.3333)^DJ$3*DJ$7)</f>
        <v>#REF!</v>
      </c>
      <c r="DK209" s="136" t="e">
        <f>IF(SeilBeregnet=0,#REF!,((Loa)/Bredde)^DK$3*DK$7)</f>
        <v>#REF!</v>
      </c>
      <c r="DL209" s="110" t="e">
        <f>IF(SeilBeregnet=0,#REF!,(Lwl)^DL$3)</f>
        <v>#REF!</v>
      </c>
      <c r="DM209" s="136" t="e">
        <f>IF(SeilBeregnet=0,#REF!,(Dypg/Loa)^DM$3*5*DM$7)</f>
        <v>#REF!</v>
      </c>
      <c r="DO209" s="110" t="str">
        <f t="shared" si="344"/>
        <v>-</v>
      </c>
      <c r="DP209" s="110" t="str">
        <f t="shared" si="1668"/>
        <v>-</v>
      </c>
      <c r="DR209" s="110" t="str">
        <f t="shared" si="1669"/>
        <v>-</v>
      </c>
      <c r="DS209" s="125" t="str">
        <f t="shared" si="1670"/>
        <v>-</v>
      </c>
      <c r="DT209" s="110" t="str">
        <f t="shared" si="1671"/>
        <v>-</v>
      </c>
      <c r="DU209" s="125" t="str">
        <f t="shared" si="1672"/>
        <v>-</v>
      </c>
      <c r="DV209" s="110">
        <f t="shared" si="1687"/>
        <v>2.6710678395574532</v>
      </c>
      <c r="DW209" s="110">
        <f t="shared" si="1688"/>
        <v>2.1826153840929692</v>
      </c>
      <c r="DX209" s="110">
        <f t="shared" si="1689"/>
        <v>1.5491658229492145</v>
      </c>
      <c r="DZ209" s="110" t="str">
        <f t="shared" si="1673"/>
        <v>-</v>
      </c>
      <c r="EB209" s="110">
        <f t="shared" si="1690"/>
        <v>2.6710678395574532</v>
      </c>
      <c r="EC209" s="110">
        <f t="shared" si="1691"/>
        <v>2.182768727320779</v>
      </c>
      <c r="ED209" s="110">
        <f t="shared" si="1692"/>
        <v>1.7924148356616389</v>
      </c>
      <c r="EE209" s="110" t="str">
        <f t="shared" si="1674"/>
        <v>-</v>
      </c>
      <c r="EG209" s="110">
        <f t="shared" si="1693"/>
        <v>4.1379270078212027</v>
      </c>
      <c r="EH209" s="110">
        <f t="shared" si="1694"/>
        <v>2.6710678395574532</v>
      </c>
      <c r="EI209" s="110">
        <f t="shared" si="1695"/>
        <v>1.5491658229492145</v>
      </c>
      <c r="EJ209" s="110">
        <f t="shared" si="1696"/>
        <v>1.7958015200236968</v>
      </c>
      <c r="EK209" s="110" t="str">
        <f>IF(SeilBeregnet=0,"-",EK$7*(EK$4*EM:EM+EK$6)*EP:EP*PropF+ErfaringsF+Dyp_F)</f>
        <v>-</v>
      </c>
      <c r="EM209" s="110">
        <f>IF(SeilBeregnet=0,EM208,(EN:EN*EO:EO)^EM$3)</f>
        <v>1.6260073577698744</v>
      </c>
      <c r="EN209" s="110">
        <f t="shared" si="1697"/>
        <v>2.6710678395574532</v>
      </c>
      <c r="EO209" s="110">
        <f t="shared" si="1698"/>
        <v>0.98982881990740235</v>
      </c>
      <c r="EP209" s="110">
        <f t="shared" si="1699"/>
        <v>1.8176735255279128</v>
      </c>
      <c r="EQ209" s="110" t="str">
        <f>IF(SeilBeregnet=0,"-",EQ$7*(ES:ES+EQ$6)*EV:EV*PropF+ErfaringsF+Dyp_F)</f>
        <v>-</v>
      </c>
      <c r="ES209" s="110">
        <f>(ET:ET*EU:EU)^ES$3</f>
        <v>1.6260791745474832</v>
      </c>
      <c r="ET209" s="110">
        <f t="shared" si="1700"/>
        <v>2.6713037938664796</v>
      </c>
      <c r="EU209" s="110">
        <f t="shared" si="1701"/>
        <v>0.98982881990740235</v>
      </c>
      <c r="EV209" s="110">
        <f t="shared" si="1702"/>
        <v>1.8176735255279128</v>
      </c>
      <c r="EW209" s="110" t="str">
        <f>IF(SeilBeregnet=0,"-",EW$7*(EY:EY+EW$6)*FB:FB*PropF+ErfaringsF+Dyp_F)</f>
        <v>-</v>
      </c>
      <c r="EX209" s="144" t="str">
        <f t="shared" si="1675"/>
        <v>-</v>
      </c>
      <c r="EY209" s="110">
        <f>(EZ:EZ*FA:FA)^EY$3</f>
        <v>2.6172395240637827</v>
      </c>
      <c r="EZ209" s="136">
        <f t="shared" si="1703"/>
        <v>2.6713037938664796</v>
      </c>
      <c r="FA209" s="136">
        <f t="shared" si="1704"/>
        <v>0.9797610927192808</v>
      </c>
      <c r="FB209" s="110">
        <f t="shared" si="1705"/>
        <v>1.0221529391087805</v>
      </c>
      <c r="FC209" s="110" t="str">
        <f>IF(SeilBeregnet=0,"-",FC$7*(FE:FE+FC$6)*FI:FI*PropF+ErfaringsF+Dyp_F)</f>
        <v>-</v>
      </c>
      <c r="FD209" s="144" t="str">
        <f t="shared" si="1676"/>
        <v>-</v>
      </c>
      <c r="FE209" s="110">
        <f>(FF:FF+FG:FG+FH:FH)^FE$3+FE$7</f>
        <v>4.6172409138054906</v>
      </c>
      <c r="FF209" s="136">
        <f t="shared" si="1706"/>
        <v>2.6713037938664796</v>
      </c>
      <c r="FG209" s="136">
        <f t="shared" si="1707"/>
        <v>0.68532806466174845</v>
      </c>
      <c r="FH209" s="136">
        <f t="shared" si="1708"/>
        <v>1.7606090552772629</v>
      </c>
      <c r="FI209" s="110">
        <f t="shared" si="1709"/>
        <v>1.7958015200236968</v>
      </c>
      <c r="FJ209" s="110" t="str">
        <f>IF(SeilBeregnet=0,"-",FJ$7*(FL:FL+FJ$6)*FO:FO*PropF+ErfaringsF+Dyp_F)</f>
        <v>-</v>
      </c>
      <c r="FK209" s="144" t="str">
        <f t="shared" si="1677"/>
        <v>-</v>
      </c>
      <c r="FL209" s="110">
        <f>(FM:FM*FN:FN)^FL$3</f>
        <v>4.7031216488778309</v>
      </c>
      <c r="FM209" s="136">
        <f t="shared" si="1710"/>
        <v>2.6713037938664796</v>
      </c>
      <c r="FN209" s="136">
        <f t="shared" si="1711"/>
        <v>1.7606090552772629</v>
      </c>
      <c r="FO209" s="110">
        <f t="shared" si="1712"/>
        <v>1.7958015200236968</v>
      </c>
      <c r="FQ209" s="374">
        <v>1</v>
      </c>
      <c r="FR209" s="64" t="str">
        <f t="shared" si="1678"/>
        <v>-</v>
      </c>
      <c r="FS209" s="480" t="s">
        <v>43</v>
      </c>
      <c r="FT209" s="59" t="s">
        <v>43</v>
      </c>
      <c r="FU209" s="475"/>
      <c r="FV209" s="77" t="s">
        <v>44</v>
      </c>
      <c r="FW209" s="59"/>
      <c r="FX209" s="59"/>
      <c r="FY209" s="59"/>
      <c r="FZ209" s="59"/>
      <c r="GB209" s="59" t="s">
        <v>522</v>
      </c>
      <c r="GC209" s="475" t="s">
        <v>522</v>
      </c>
      <c r="GD209" s="60" t="s">
        <v>522</v>
      </c>
      <c r="GE209" s="60" t="s">
        <v>522</v>
      </c>
      <c r="GF209" s="60" t="s">
        <v>522</v>
      </c>
      <c r="GG209" s="60" t="s">
        <v>522</v>
      </c>
      <c r="GI209" s="59"/>
      <c r="GJ209" s="59"/>
      <c r="GK209" s="59"/>
      <c r="GL209" s="59"/>
      <c r="GM209" s="59"/>
      <c r="GN209" s="59"/>
      <c r="GO209" s="59"/>
      <c r="GP209" s="59"/>
    </row>
    <row r="210" spans="1:198" ht="15.6" x14ac:dyDescent="0.3">
      <c r="A210" s="62" t="s">
        <v>49</v>
      </c>
      <c r="B210" s="223"/>
      <c r="C210" s="63" t="str">
        <f>C209</f>
        <v>Bermuda</v>
      </c>
      <c r="D210" s="63"/>
      <c r="E210" s="63"/>
      <c r="F210" s="63"/>
      <c r="G210" s="56"/>
      <c r="H210" s="209">
        <f>TBFavrundet</f>
        <v>98.500000000000014</v>
      </c>
      <c r="I210" s="65">
        <f>COUNTA(O210:AD210)</f>
        <v>3</v>
      </c>
      <c r="J210" s="228">
        <f>SUM(O210:AD210)</f>
        <v>74.2</v>
      </c>
      <c r="K210" s="119">
        <f>Seilareal/Depl^0.667/K$7</f>
        <v>1.3153074998341103</v>
      </c>
      <c r="L210" s="119">
        <f>Seilareal/Lwl/Lwl/L$7</f>
        <v>1.3807192455919164</v>
      </c>
      <c r="M210" s="95">
        <f>RiggF</f>
        <v>0.96900269541778983</v>
      </c>
      <c r="N210" s="265">
        <f>StHfaktor</f>
        <v>1.0178134805115575</v>
      </c>
      <c r="O210" s="147"/>
      <c r="P210" s="169">
        <v>43</v>
      </c>
      <c r="Q210" s="147"/>
      <c r="R210" s="147"/>
      <c r="S210" s="147"/>
      <c r="T210" s="147"/>
      <c r="U210" s="148"/>
      <c r="V210" s="148"/>
      <c r="W210" s="148"/>
      <c r="X210" s="148"/>
      <c r="Y210" s="147"/>
      <c r="Z210" s="147"/>
      <c r="AA210" s="147"/>
      <c r="AB210" s="169">
        <v>22</v>
      </c>
      <c r="AC210" s="147"/>
      <c r="AD210" s="169">
        <v>9.1999999999999993</v>
      </c>
      <c r="AE210" s="260">
        <f t="shared" ref="AE210" si="1725">AE209</f>
        <v>10.4</v>
      </c>
      <c r="AF210" s="375">
        <f t="shared" si="1680"/>
        <v>0</v>
      </c>
      <c r="AG210" s="377"/>
      <c r="AH210" s="375">
        <f t="shared" si="1680"/>
        <v>0</v>
      </c>
      <c r="AI210" s="377"/>
      <c r="AJ210" s="295" t="str">
        <f t="shared" ref="AJ210" si="1726" xml:space="preserve"> AJ209</f>
        <v>Lystb</v>
      </c>
      <c r="AK210" s="47">
        <f>VLOOKUP(AJ210,Skrogform!$1:$1048576,3,FALSE)</f>
        <v>0.98</v>
      </c>
      <c r="AL210" s="66">
        <f t="shared" ref="AL210:AT211" si="1727">AL209</f>
        <v>11.07</v>
      </c>
      <c r="AM210" s="66">
        <f t="shared" si="1727"/>
        <v>9.0299999999999994</v>
      </c>
      <c r="AN210" s="66">
        <f t="shared" si="1727"/>
        <v>3.35</v>
      </c>
      <c r="AO210" s="66">
        <f t="shared" si="1727"/>
        <v>1.6</v>
      </c>
      <c r="AP210" s="66">
        <f t="shared" si="1727"/>
        <v>11.7</v>
      </c>
      <c r="AQ210" s="66">
        <f t="shared" si="1727"/>
        <v>3</v>
      </c>
      <c r="AR210" s="66">
        <f t="shared" si="1727"/>
        <v>0.2</v>
      </c>
      <c r="AS210" s="284">
        <f t="shared" si="1727"/>
        <v>50</v>
      </c>
      <c r="AT210" s="284">
        <f t="shared" si="1727"/>
        <v>250</v>
      </c>
      <c r="AU210" s="284">
        <f t="shared" ref="AU210:AV210" si="1728">AU209</f>
        <v>100</v>
      </c>
      <c r="AV210" s="284">
        <f t="shared" si="1728"/>
        <v>100</v>
      </c>
      <c r="AW210" s="284"/>
      <c r="AX210" s="284">
        <f>AX209</f>
        <v>0</v>
      </c>
      <c r="AY210" s="68"/>
      <c r="AZ210" s="68"/>
      <c r="BA210" s="289"/>
      <c r="BB210" s="68"/>
      <c r="BC210" s="179"/>
      <c r="BD210" s="68"/>
      <c r="BE210" s="68"/>
      <c r="BF210" s="67" t="str">
        <f t="shared" ref="BF210:BH211" si="1729" xml:space="preserve"> BF209</f>
        <v>Fast</v>
      </c>
      <c r="BG210" s="295">
        <f t="shared" si="1729"/>
        <v>3</v>
      </c>
      <c r="BH210" s="295">
        <f t="shared" si="1729"/>
        <v>35</v>
      </c>
      <c r="BI210" s="47">
        <f t="shared" si="1662"/>
        <v>0.98911776272570606</v>
      </c>
      <c r="BJ210" s="61"/>
      <c r="BK210" s="61"/>
      <c r="BM210" s="51">
        <f t="shared" ref="BM210:BR211" si="1730">IF(O210=0,0,O210*BM$9)</f>
        <v>0</v>
      </c>
      <c r="BN210" s="51">
        <f t="shared" si="1730"/>
        <v>43</v>
      </c>
      <c r="BO210" s="51">
        <f t="shared" si="1730"/>
        <v>0</v>
      </c>
      <c r="BP210" s="51">
        <f t="shared" si="1730"/>
        <v>0</v>
      </c>
      <c r="BQ210" s="51">
        <f t="shared" si="1730"/>
        <v>0</v>
      </c>
      <c r="BR210" s="51">
        <f t="shared" si="1730"/>
        <v>0</v>
      </c>
      <c r="BS210" s="52">
        <f>IF(COUNT(P210:T210)&gt;1,MINA(P210:T210)*BS$9,0)</f>
        <v>0</v>
      </c>
      <c r="BT210" s="88">
        <f t="shared" ref="BT210:CC211" si="1731">IF(U210=0,0,U210*BT$9)</f>
        <v>0</v>
      </c>
      <c r="BU210" s="88">
        <f t="shared" si="1731"/>
        <v>0</v>
      </c>
      <c r="BV210" s="88">
        <f t="shared" si="1731"/>
        <v>0</v>
      </c>
      <c r="BW210" s="88">
        <f t="shared" si="1731"/>
        <v>0</v>
      </c>
      <c r="BX210" s="88">
        <f t="shared" si="1731"/>
        <v>0</v>
      </c>
      <c r="BY210" s="88">
        <f t="shared" si="1731"/>
        <v>0</v>
      </c>
      <c r="BZ210" s="88">
        <f t="shared" si="1731"/>
        <v>0</v>
      </c>
      <c r="CA210" s="88">
        <f t="shared" si="1731"/>
        <v>22</v>
      </c>
      <c r="CB210" s="88">
        <f t="shared" si="1731"/>
        <v>0</v>
      </c>
      <c r="CC210" s="88">
        <f t="shared" si="1731"/>
        <v>6.8999999999999995</v>
      </c>
      <c r="CD210" s="103">
        <f>SUM(BM210:CC210)</f>
        <v>71.900000000000006</v>
      </c>
      <c r="CE210" s="52"/>
      <c r="CF210" s="109">
        <f>J210</f>
        <v>74.2</v>
      </c>
      <c r="CG210" s="104">
        <f>CD210/CF210</f>
        <v>0.96900269541778983</v>
      </c>
      <c r="CH210" s="53">
        <f>Seilareal/Lwl/Lwl</f>
        <v>0.9099727866628895</v>
      </c>
      <c r="CI210" s="119">
        <f>Seilareal/Depl^0.667/K$7</f>
        <v>1.3153074998341103</v>
      </c>
      <c r="CJ210" s="53">
        <f>Seilareal/Lwl/Lwl/SApRS1</f>
        <v>1.3807192455919164</v>
      </c>
      <c r="CK210" s="209"/>
      <c r="CL210" s="209">
        <f>(ROUND(TBF/CL$6,3)*CL$6)*CL$4</f>
        <v>98.500000000000014</v>
      </c>
      <c r="CM210" s="110">
        <f t="shared" si="1189"/>
        <v>0.98300117706879053</v>
      </c>
      <c r="CN210" s="64">
        <f>IF(SeilBeregnet=0,"-",(SeilBeregnet)^(1/2)*StHfaktor/(Depl+DeplTillegg/1000+Vann/1000+Diesel/1000*0.84)^(1/3))</f>
        <v>3.7609342264781978</v>
      </c>
      <c r="CO210" s="64">
        <f t="shared" si="1140"/>
        <v>1.7320508075688772</v>
      </c>
      <c r="CP210" s="64">
        <f t="shared" si="1141"/>
        <v>1.7334923825224453</v>
      </c>
      <c r="CQ210" s="110">
        <f t="shared" si="1142"/>
        <v>1.0178134805115575</v>
      </c>
      <c r="CR210" s="172" t="str">
        <f t="shared" si="1563"/>
        <v>-</v>
      </c>
      <c r="CS210" s="163"/>
      <c r="CT210" s="172">
        <f t="shared" si="1660"/>
        <v>0.91859649122807019</v>
      </c>
      <c r="CU210" s="163">
        <f>CU209</f>
        <v>1.19</v>
      </c>
      <c r="CV210" s="195" t="s">
        <v>145</v>
      </c>
      <c r="CW210" s="64">
        <v>0.93</v>
      </c>
      <c r="CX210" s="64">
        <v>0.9</v>
      </c>
      <c r="CY210" s="64">
        <v>0.98</v>
      </c>
      <c r="CZ210" s="64">
        <v>1</v>
      </c>
      <c r="DA210" s="64">
        <f t="shared" si="1663"/>
        <v>2.01863515986921</v>
      </c>
      <c r="DB210" s="49">
        <f t="shared" si="1664"/>
        <v>11.958146487294471</v>
      </c>
      <c r="DC210" s="50">
        <f t="shared" si="1665"/>
        <v>0</v>
      </c>
      <c r="DE210" s="110">
        <f>IF(SeilBeregnet=0,"-",DE$7*(DG:DG+DE$6)*DL:DL*PropF+ErfaringsF+Dyp_F)</f>
        <v>0.96169426491728316</v>
      </c>
      <c r="DF210" s="144">
        <f t="shared" si="1666"/>
        <v>-4.1368160663115443</v>
      </c>
      <c r="DG210" s="110">
        <f t="shared" si="1667"/>
        <v>5.5532306718745268</v>
      </c>
      <c r="DH210" s="136">
        <f>IF(SeilBeregnet=0,DH209,(SeilBeregnet^0.5/(Depl^0.3333))^DH$3*DH$7)</f>
        <v>3.7354084550611502</v>
      </c>
      <c r="DI210" s="136">
        <f>IF(SeilBeregnet=0,DI209,(SeilBeregnet^0.5/Lwl)^DI$3*DI$7)</f>
        <v>0</v>
      </c>
      <c r="DJ210" s="136">
        <f>IF(SeilBeregnet=0,DJ209,(0.1*Loa/Depl^0.3333)^DJ$3*DJ$7)</f>
        <v>0</v>
      </c>
      <c r="DK210" s="136">
        <f>IF(SeilBeregnet=0,DK209,((Loa)/Bredde)^DK$3*DK$7)</f>
        <v>1.8178222168133764</v>
      </c>
      <c r="DL210" s="110">
        <f>IF(SeilBeregnet=0,DL209,(Lwl)^DL$3)</f>
        <v>1.7334923825224453</v>
      </c>
      <c r="DM210" s="136">
        <f>IF(SeilBeregnet=0,DM209,(Dypg/Loa)^DM$3*5*DM$7)</f>
        <v>1.9008864950406701</v>
      </c>
      <c r="DO210" s="110">
        <f t="shared" si="344"/>
        <v>1.0030624255803986</v>
      </c>
      <c r="DP210" s="110">
        <f t="shared" si="1668"/>
        <v>0.99598274029084577</v>
      </c>
      <c r="DQ210" s="125">
        <f>DP210-DO210</f>
        <v>-7.0796852895528284E-3</v>
      </c>
      <c r="DR210" s="110">
        <f t="shared" si="1669"/>
        <v>0.97272756479166356</v>
      </c>
      <c r="DS210" s="125">
        <f t="shared" si="1670"/>
        <v>-3.0334860788735041E-2</v>
      </c>
      <c r="DT210" s="110">
        <f t="shared" si="1671"/>
        <v>0.98010199692761457</v>
      </c>
      <c r="DU210" s="125">
        <f t="shared" si="1672"/>
        <v>-2.2960428652784026E-2</v>
      </c>
      <c r="DV210" s="110">
        <f t="shared" si="1687"/>
        <v>3.7351328381611695</v>
      </c>
      <c r="DW210" s="110">
        <f t="shared" si="1688"/>
        <v>2.0822397225198168</v>
      </c>
      <c r="DX210" s="110">
        <f t="shared" si="1689"/>
        <v>1.5650845800732873</v>
      </c>
      <c r="DZ210" s="110">
        <f t="shared" si="1673"/>
        <v>0.97276575533720722</v>
      </c>
      <c r="EB210" s="110">
        <f t="shared" si="1690"/>
        <v>3.7351328381611695</v>
      </c>
      <c r="EC210" s="110">
        <f t="shared" si="1691"/>
        <v>2.0823771893838408</v>
      </c>
      <c r="ED210" s="110">
        <f t="shared" si="1692"/>
        <v>1.8170120679720481</v>
      </c>
      <c r="EE210" s="110">
        <f t="shared" si="1674"/>
        <v>0.96850156518464459</v>
      </c>
      <c r="EG210" s="110">
        <f t="shared" si="1693"/>
        <v>5.8457988095314199</v>
      </c>
      <c r="EH210" s="110">
        <f t="shared" si="1694"/>
        <v>3.7351328381611695</v>
      </c>
      <c r="EI210" s="110">
        <f t="shared" si="1695"/>
        <v>1.5650845800732873</v>
      </c>
      <c r="EJ210" s="110">
        <f t="shared" si="1696"/>
        <v>1.7334923825224453</v>
      </c>
      <c r="EK210" s="110">
        <f>IF(SeilBeregnet=0,"-",EK$7*(EK$4*EM:EM+EK$6)*EP:EP*PropF+ErfaringsF+Dyp_F)</f>
        <v>0.96951833932185028</v>
      </c>
      <c r="EM210" s="110">
        <f>IF(SeilBeregnet=0,EM209,(EN:EN*EO:EO)^EM$3)</f>
        <v>1.9326491761727398</v>
      </c>
      <c r="EN210" s="110">
        <f t="shared" si="1697"/>
        <v>3.7351328381611695</v>
      </c>
      <c r="EO210" s="110">
        <f t="shared" si="1698"/>
        <v>1</v>
      </c>
      <c r="EP210" s="110">
        <f t="shared" si="1699"/>
        <v>1.762145567443743</v>
      </c>
      <c r="EQ210" s="110">
        <f>IF(SeilBeregnet=0,"-",EQ$7*(ES:ES+EQ$6)*EV:EV*PropF+ErfaringsF+Dyp_F)</f>
        <v>0.92180019207840058</v>
      </c>
      <c r="ES210" s="110">
        <f>(ET:ET*EU:EU)^ES$3</f>
        <v>1.9327204803233058</v>
      </c>
      <c r="ET210" s="110">
        <f t="shared" si="1700"/>
        <v>3.7354084550611502</v>
      </c>
      <c r="EU210" s="110">
        <f t="shared" si="1701"/>
        <v>1</v>
      </c>
      <c r="EV210" s="110">
        <f t="shared" si="1702"/>
        <v>1.762145567443743</v>
      </c>
      <c r="EW210" s="110">
        <f>IF(SeilBeregnet=0,"-",EW$7*(EY:EY+EW$6)*FB:FB*PropF+ErfaringsF+Dyp_F)</f>
        <v>0.96128074992648249</v>
      </c>
      <c r="EX210" s="144">
        <f t="shared" si="1675"/>
        <v>-4.178167565391611</v>
      </c>
      <c r="EY210" s="110">
        <f>(EZ:EZ*FA:FA)^EY$3</f>
        <v>3.7354084550611502</v>
      </c>
      <c r="EZ210" s="136">
        <f t="shared" si="1703"/>
        <v>3.7354084550611502</v>
      </c>
      <c r="FA210" s="136">
        <f t="shared" si="1704"/>
        <v>1</v>
      </c>
      <c r="FB210" s="110">
        <f t="shared" si="1705"/>
        <v>0.99092727357461408</v>
      </c>
      <c r="FC210" s="110">
        <f>IF(SeilBeregnet=0,"-",FC$7*(FE:FE+FC$6)*FI:FI*PropF+ErfaringsF+Dyp_F)</f>
        <v>0.98635087630660789</v>
      </c>
      <c r="FD210" s="144">
        <f t="shared" si="1676"/>
        <v>-1.6711549273790705</v>
      </c>
      <c r="FE210" s="110">
        <f>(FF:FF+FG:FG+FH:FH)^FE$3+FE$7</f>
        <v>5.9922546774426362</v>
      </c>
      <c r="FF210" s="136">
        <f t="shared" si="1706"/>
        <v>3.7354084550611502</v>
      </c>
      <c r="FG210" s="136">
        <f t="shared" si="1707"/>
        <v>0.93902400556810972</v>
      </c>
      <c r="FH210" s="136">
        <f t="shared" si="1708"/>
        <v>1.8178222168133764</v>
      </c>
      <c r="FI210" s="110">
        <f t="shared" si="1709"/>
        <v>1.7334923825224453</v>
      </c>
      <c r="FJ210" s="110">
        <f>IF(SeilBeregnet=0,"-",FJ$7*(FL:FL+FJ$6)*FO:FO*PropF+ErfaringsF+Dyp_F)</f>
        <v>0.96207104247875419</v>
      </c>
      <c r="FK210" s="144">
        <f t="shared" si="1677"/>
        <v>-4.0991383101644407</v>
      </c>
      <c r="FL210" s="110">
        <f>(FM:FM*FN:FN)^FL$3</f>
        <v>6.7903084784826895</v>
      </c>
      <c r="FM210" s="136">
        <f t="shared" si="1710"/>
        <v>3.7354084550611502</v>
      </c>
      <c r="FN210" s="136">
        <f t="shared" si="1711"/>
        <v>1.8178222168133764</v>
      </c>
      <c r="FO210" s="110">
        <f t="shared" si="1712"/>
        <v>1.7334923825224453</v>
      </c>
      <c r="FQ210" s="374">
        <v>1</v>
      </c>
      <c r="FR210" s="64">
        <f t="shared" si="1678"/>
        <v>1.2085223792863984</v>
      </c>
      <c r="FS210" s="479"/>
      <c r="FT210" s="18"/>
      <c r="FU210" s="481"/>
      <c r="FV210" s="504"/>
      <c r="FW210" s="18"/>
      <c r="FX210" s="18"/>
      <c r="FY210" s="18"/>
      <c r="FZ210" s="18"/>
      <c r="GB210" s="18"/>
      <c r="GC210" s="481"/>
      <c r="GD210" s="8"/>
      <c r="GE210" s="8"/>
      <c r="GF210" s="8"/>
      <c r="GG210" s="8"/>
      <c r="GI210" s="18"/>
      <c r="GJ210" s="18"/>
      <c r="GK210" s="18"/>
      <c r="GL210" s="18"/>
      <c r="GM210" s="18"/>
      <c r="GN210" s="18"/>
      <c r="GO210" s="18"/>
      <c r="GP210" s="18"/>
    </row>
    <row r="211" spans="1:198" ht="15.6" x14ac:dyDescent="0.3">
      <c r="A211" s="62" t="s">
        <v>71</v>
      </c>
      <c r="B211" s="223"/>
      <c r="C211" s="63" t="str">
        <f t="shared" ref="C211" si="1732">C210</f>
        <v>Bermuda</v>
      </c>
      <c r="D211" s="63"/>
      <c r="E211" s="63"/>
      <c r="F211" s="63"/>
      <c r="G211" s="56"/>
      <c r="H211" s="209">
        <f>TBFavrundet</f>
        <v>95</v>
      </c>
      <c r="I211" s="65">
        <f>COUNTA(O211:AD211)</f>
        <v>2</v>
      </c>
      <c r="J211" s="228">
        <f>SUM(O211:AD211)</f>
        <v>65</v>
      </c>
      <c r="K211" s="119">
        <f>Seilareal/Depl^0.667/K$7</f>
        <v>1.1522235510676169</v>
      </c>
      <c r="L211" s="119">
        <f>Seilareal/Lwl/Lwl/L$7</f>
        <v>1.2095249455993877</v>
      </c>
      <c r="M211" s="95">
        <f>RiggF</f>
        <v>1</v>
      </c>
      <c r="N211" s="265">
        <f>StHfaktor</f>
        <v>1.0178134805115575</v>
      </c>
      <c r="O211" s="147"/>
      <c r="P211" s="169">
        <v>43</v>
      </c>
      <c r="Q211" s="147"/>
      <c r="R211" s="147"/>
      <c r="S211" s="147"/>
      <c r="T211" s="147"/>
      <c r="U211" s="148"/>
      <c r="V211" s="148"/>
      <c r="W211" s="148"/>
      <c r="X211" s="148"/>
      <c r="Y211" s="147"/>
      <c r="Z211" s="147"/>
      <c r="AA211" s="147"/>
      <c r="AB211" s="169">
        <v>22</v>
      </c>
      <c r="AC211" s="147"/>
      <c r="AD211" s="148"/>
      <c r="AE211" s="260">
        <f t="shared" ref="AE211" si="1733">AE210</f>
        <v>10.4</v>
      </c>
      <c r="AF211" s="375">
        <f t="shared" si="1680"/>
        <v>0</v>
      </c>
      <c r="AG211" s="377"/>
      <c r="AH211" s="375">
        <f t="shared" si="1680"/>
        <v>0</v>
      </c>
      <c r="AI211" s="377"/>
      <c r="AJ211" s="295" t="str">
        <f t="shared" ref="AJ211" si="1734" xml:space="preserve"> AJ210</f>
        <v>Lystb</v>
      </c>
      <c r="AK211" s="47">
        <f>VLOOKUP(AJ211,Skrogform!$1:$1048576,3,FALSE)</f>
        <v>0.98</v>
      </c>
      <c r="AL211" s="66">
        <f t="shared" si="1727"/>
        <v>11.07</v>
      </c>
      <c r="AM211" s="66">
        <f t="shared" si="1727"/>
        <v>9.0299999999999994</v>
      </c>
      <c r="AN211" s="66">
        <f t="shared" si="1727"/>
        <v>3.35</v>
      </c>
      <c r="AO211" s="66">
        <f t="shared" si="1727"/>
        <v>1.6</v>
      </c>
      <c r="AP211" s="66">
        <f t="shared" si="1727"/>
        <v>11.7</v>
      </c>
      <c r="AQ211" s="66">
        <f t="shared" si="1727"/>
        <v>3</v>
      </c>
      <c r="AR211" s="66">
        <f t="shared" si="1727"/>
        <v>0.2</v>
      </c>
      <c r="AS211" s="284">
        <f t="shared" si="1727"/>
        <v>50</v>
      </c>
      <c r="AT211" s="284">
        <f t="shared" si="1727"/>
        <v>250</v>
      </c>
      <c r="AU211" s="284">
        <f t="shared" ref="AU211:AV211" si="1735">AU210</f>
        <v>100</v>
      </c>
      <c r="AV211" s="284">
        <f t="shared" si="1735"/>
        <v>100</v>
      </c>
      <c r="AW211" s="284"/>
      <c r="AX211" s="284">
        <f>AX210</f>
        <v>0</v>
      </c>
      <c r="AY211" s="68"/>
      <c r="AZ211" s="68"/>
      <c r="BA211" s="289"/>
      <c r="BB211" s="68"/>
      <c r="BC211" s="179"/>
      <c r="BD211" s="68"/>
      <c r="BE211" s="68"/>
      <c r="BF211" s="67" t="str">
        <f t="shared" si="1729"/>
        <v>Fast</v>
      </c>
      <c r="BG211" s="295">
        <f t="shared" si="1729"/>
        <v>3</v>
      </c>
      <c r="BH211" s="295">
        <f t="shared" si="1729"/>
        <v>35</v>
      </c>
      <c r="BI211" s="47">
        <f t="shared" si="1662"/>
        <v>0.98911776272570606</v>
      </c>
      <c r="BJ211" s="61"/>
      <c r="BK211" s="61"/>
      <c r="BM211" s="51">
        <f t="shared" si="1730"/>
        <v>0</v>
      </c>
      <c r="BN211" s="51">
        <f t="shared" si="1730"/>
        <v>43</v>
      </c>
      <c r="BO211" s="51">
        <f t="shared" si="1730"/>
        <v>0</v>
      </c>
      <c r="BP211" s="51">
        <f t="shared" si="1730"/>
        <v>0</v>
      </c>
      <c r="BQ211" s="51">
        <f t="shared" si="1730"/>
        <v>0</v>
      </c>
      <c r="BR211" s="51">
        <f t="shared" si="1730"/>
        <v>0</v>
      </c>
      <c r="BS211" s="52">
        <f>IF(COUNT(P211:T211)&gt;1,MINA(P211:T211)*BS$9,0)</f>
        <v>0</v>
      </c>
      <c r="BT211" s="88">
        <f t="shared" si="1731"/>
        <v>0</v>
      </c>
      <c r="BU211" s="88">
        <f t="shared" si="1731"/>
        <v>0</v>
      </c>
      <c r="BV211" s="88">
        <f t="shared" si="1731"/>
        <v>0</v>
      </c>
      <c r="BW211" s="88">
        <f t="shared" si="1731"/>
        <v>0</v>
      </c>
      <c r="BX211" s="88">
        <f t="shared" si="1731"/>
        <v>0</v>
      </c>
      <c r="BY211" s="88">
        <f t="shared" si="1731"/>
        <v>0</v>
      </c>
      <c r="BZ211" s="88">
        <f t="shared" si="1731"/>
        <v>0</v>
      </c>
      <c r="CA211" s="88">
        <f t="shared" si="1731"/>
        <v>22</v>
      </c>
      <c r="CB211" s="88">
        <f t="shared" si="1731"/>
        <v>0</v>
      </c>
      <c r="CC211" s="88">
        <f t="shared" si="1731"/>
        <v>0</v>
      </c>
      <c r="CD211" s="103">
        <f>SUM(BM211:CC211)</f>
        <v>65</v>
      </c>
      <c r="CE211" s="52"/>
      <c r="CF211" s="109">
        <f>J211</f>
        <v>65</v>
      </c>
      <c r="CG211" s="104">
        <f>CD211/CF211</f>
        <v>1</v>
      </c>
      <c r="CH211" s="53">
        <f>Seilareal/Lwl/Lwl</f>
        <v>0.7971459721440407</v>
      </c>
      <c r="CI211" s="119">
        <f>Seilareal/Depl^0.667/K$7</f>
        <v>1.1522235510676169</v>
      </c>
      <c r="CJ211" s="53">
        <f>Seilareal/Lwl/Lwl/SApRS1</f>
        <v>1.2095249455993877</v>
      </c>
      <c r="CK211" s="209"/>
      <c r="CL211" s="209">
        <f>(ROUND(TBF/CL$6,3)*CL$6)*CL$4</f>
        <v>95</v>
      </c>
      <c r="CM211" s="110">
        <f t="shared" si="1189"/>
        <v>0.94989208112292522</v>
      </c>
      <c r="CN211" s="64">
        <f>IF(SeilBeregnet=0,"-",(SeilBeregnet)^(1/2)*StHfaktor/(Depl+DeplTillegg/1000+Vann/1000+Diesel/1000*0.84)^(1/3))</f>
        <v>3.5759214586768628</v>
      </c>
      <c r="CO211" s="64">
        <f t="shared" si="1140"/>
        <v>1.7320508075688772</v>
      </c>
      <c r="CP211" s="64">
        <f t="shared" si="1141"/>
        <v>1.7334923825224453</v>
      </c>
      <c r="CQ211" s="110">
        <f t="shared" si="1142"/>
        <v>1.0178134805115575</v>
      </c>
      <c r="CR211" s="172" t="str">
        <f t="shared" si="1563"/>
        <v>-</v>
      </c>
      <c r="CS211" s="162"/>
      <c r="CT211" s="172" t="str">
        <f t="shared" si="1660"/>
        <v>-</v>
      </c>
      <c r="CU211" s="164"/>
      <c r="CV211" s="195" t="s">
        <v>145</v>
      </c>
      <c r="CW211" s="64">
        <v>0.9</v>
      </c>
      <c r="CX211" s="64">
        <v>0.89</v>
      </c>
      <c r="CY211" s="64">
        <v>0.95</v>
      </c>
      <c r="CZ211" s="154">
        <v>0.97</v>
      </c>
      <c r="DA211" s="64">
        <f t="shared" si="1663"/>
        <v>2.01863515986921</v>
      </c>
      <c r="DB211" s="49">
        <f t="shared" si="1664"/>
        <v>11.958146487294471</v>
      </c>
      <c r="DC211" s="50">
        <f t="shared" si="1665"/>
        <v>0</v>
      </c>
      <c r="DE211" s="110">
        <f>IF(SeilBeregnet=0,"-",DE$7*(DG:DG+DE$6)*DL:DL*PropF+ErfaringsF+Dyp_F)</f>
        <v>0.92987168602187498</v>
      </c>
      <c r="DF211" s="144">
        <f t="shared" si="1666"/>
        <v>-3.9405947777028216</v>
      </c>
      <c r="DG211" s="110">
        <f t="shared" si="1667"/>
        <v>5.3694736010186164</v>
      </c>
      <c r="DH211" s="136">
        <f>IF(SeilBeregnet=0,DH210,(SeilBeregnet^0.5/(Depl^0.3333))^DH$3*DH$7)</f>
        <v>3.5516513842052402</v>
      </c>
      <c r="DI211" s="136">
        <f>IF(SeilBeregnet=0,DI210,(SeilBeregnet^0.5/Lwl)^DI$3*DI$7)</f>
        <v>0</v>
      </c>
      <c r="DJ211" s="136">
        <f>IF(SeilBeregnet=0,DJ210,(0.1*Loa/Depl^0.3333)^DJ$3*DJ$7)</f>
        <v>0</v>
      </c>
      <c r="DK211" s="136">
        <f>IF(SeilBeregnet=0,DK210,((Loa)/Bredde)^DK$3*DK$7)</f>
        <v>1.8178222168133764</v>
      </c>
      <c r="DL211" s="110">
        <f>IF(SeilBeregnet=0,DL210,(Lwl)^DL$3)</f>
        <v>1.7334923825224453</v>
      </c>
      <c r="DM211" s="136">
        <f>IF(SeilBeregnet=0,DM210,(Dypg/Loa)^DM$3*5*DM$7)</f>
        <v>1.9008864950406701</v>
      </c>
      <c r="DO211" s="110">
        <f t="shared" si="344"/>
        <v>0.96927763379890319</v>
      </c>
      <c r="DP211" s="110">
        <f t="shared" si="1668"/>
        <v>0.95669347447940833</v>
      </c>
      <c r="DQ211" s="125">
        <f>DP211-DO211</f>
        <v>-1.2584159319494859E-2</v>
      </c>
      <c r="DR211" s="110">
        <f t="shared" si="1669"/>
        <v>0.94140125060632229</v>
      </c>
      <c r="DS211" s="125">
        <f t="shared" si="1670"/>
        <v>-2.78763831925809E-2</v>
      </c>
      <c r="DT211" s="110">
        <f t="shared" si="1671"/>
        <v>0.94298557714728648</v>
      </c>
      <c r="DU211" s="125">
        <f t="shared" si="1672"/>
        <v>-2.6292056651616713E-2</v>
      </c>
      <c r="DV211" s="110">
        <f t="shared" si="1687"/>
        <v>3.5513893258102605</v>
      </c>
      <c r="DW211" s="110">
        <f t="shared" si="1688"/>
        <v>2.0822397225198168</v>
      </c>
      <c r="DX211" s="110">
        <f t="shared" si="1689"/>
        <v>1.5650845800732873</v>
      </c>
      <c r="DZ211" s="110">
        <f t="shared" si="1673"/>
        <v>0.93928346644255056</v>
      </c>
      <c r="EB211" s="110">
        <f t="shared" si="1690"/>
        <v>3.5513893258102605</v>
      </c>
      <c r="EC211" s="110">
        <f t="shared" si="1691"/>
        <v>2.0823771893838408</v>
      </c>
      <c r="ED211" s="110">
        <f t="shared" si="1692"/>
        <v>1.8170120679720481</v>
      </c>
      <c r="EE211" s="110">
        <f t="shared" si="1674"/>
        <v>0.93300282128436574</v>
      </c>
      <c r="EG211" s="110">
        <f t="shared" si="1693"/>
        <v>5.5582246716625061</v>
      </c>
      <c r="EH211" s="110">
        <f t="shared" si="1694"/>
        <v>3.5513893258102605</v>
      </c>
      <c r="EI211" s="110">
        <f t="shared" si="1695"/>
        <v>1.5650845800732873</v>
      </c>
      <c r="EJ211" s="110">
        <f t="shared" si="1696"/>
        <v>1.7334923825224453</v>
      </c>
      <c r="EK211" s="110">
        <f>IF(SeilBeregnet=0,"-",EK$7*(EK$4*EM:EM+EK$6)*EP:EP*PropF+ErfaringsF+Dyp_F)</f>
        <v>0.93694310308722972</v>
      </c>
      <c r="EM211" s="110">
        <f>IF(SeilBeregnet=0,EM210,(EN:EN*EO:EO)^EM$3)</f>
        <v>1.8845130208651413</v>
      </c>
      <c r="EN211" s="110">
        <f t="shared" si="1697"/>
        <v>3.5513893258102605</v>
      </c>
      <c r="EO211" s="110">
        <f t="shared" si="1698"/>
        <v>1</v>
      </c>
      <c r="EP211" s="110">
        <f t="shared" si="1699"/>
        <v>1.762145567443743</v>
      </c>
      <c r="EQ211" s="110">
        <f>IF(SeilBeregnet=0,"-",EQ$7*(ES:ES+EQ$6)*EV:EV*PropF+ErfaringsF+Dyp_F)</f>
        <v>0.89884107577549766</v>
      </c>
      <c r="ES211" s="110">
        <f>(ET:ET*EU:EU)^ES$3</f>
        <v>1.8845825490556896</v>
      </c>
      <c r="ET211" s="110">
        <f t="shared" si="1700"/>
        <v>3.5516513842052402</v>
      </c>
      <c r="EU211" s="110">
        <f t="shared" si="1701"/>
        <v>1</v>
      </c>
      <c r="EV211" s="110">
        <f t="shared" si="1702"/>
        <v>1.762145567443743</v>
      </c>
      <c r="EW211" s="110">
        <f>IF(SeilBeregnet=0,"-",EW$7*(EY:EY+EW$6)*FB:FB*PropF+ErfaringsF+Dyp_F)</f>
        <v>0.93048222245268286</v>
      </c>
      <c r="EX211" s="144">
        <f t="shared" si="1675"/>
        <v>-3.8795411346220332</v>
      </c>
      <c r="EY211" s="110">
        <f>(EZ:EZ*FA:FA)^EY$3</f>
        <v>3.5516513842052402</v>
      </c>
      <c r="EZ211" s="136">
        <f t="shared" si="1703"/>
        <v>3.5516513842052402</v>
      </c>
      <c r="FA211" s="136">
        <f t="shared" si="1704"/>
        <v>1</v>
      </c>
      <c r="FB211" s="110">
        <f t="shared" si="1705"/>
        <v>0.99092727357461408</v>
      </c>
      <c r="FC211" s="110">
        <f>IF(SeilBeregnet=0,"-",FC$7*(FE:FE+FC$6)*FI:FI*PropF+ErfaringsF+Dyp_F)</f>
        <v>0.94849999265318241</v>
      </c>
      <c r="FD211" s="144">
        <f t="shared" si="1676"/>
        <v>-2.0777641145720782</v>
      </c>
      <c r="FE211" s="110">
        <f>(FF:FF+FG:FG+FH:FH)^FE$3+FE$7</f>
        <v>5.7623039164448127</v>
      </c>
      <c r="FF211" s="136">
        <f t="shared" si="1706"/>
        <v>3.5516513842052402</v>
      </c>
      <c r="FG211" s="136">
        <f t="shared" si="1707"/>
        <v>0.89283031542619595</v>
      </c>
      <c r="FH211" s="136">
        <f t="shared" si="1708"/>
        <v>1.8178222168133764</v>
      </c>
      <c r="FI211" s="110">
        <f t="shared" si="1709"/>
        <v>1.7334923825224453</v>
      </c>
      <c r="FJ211" s="110">
        <f>IF(SeilBeregnet=0,"-",FJ$7*(FL:FL+FJ$6)*FO:FO*PropF+ErfaringsF+Dyp_F)</f>
        <v>0.93228802141496003</v>
      </c>
      <c r="FK211" s="144">
        <f t="shared" si="1677"/>
        <v>-3.698961238394316</v>
      </c>
      <c r="FL211" s="110">
        <f>(FM:FM*FN:FN)^FL$3</f>
        <v>6.4562707925842666</v>
      </c>
      <c r="FM211" s="136">
        <f t="shared" si="1710"/>
        <v>3.5516513842052402</v>
      </c>
      <c r="FN211" s="136">
        <f t="shared" si="1711"/>
        <v>1.8178222168133764</v>
      </c>
      <c r="FO211" s="110">
        <f t="shared" si="1712"/>
        <v>1.7334923825224453</v>
      </c>
      <c r="FQ211" s="374">
        <v>1</v>
      </c>
      <c r="FR211" s="64">
        <f t="shared" si="1678"/>
        <v>1.1787314001041496</v>
      </c>
      <c r="FS211" s="479"/>
      <c r="FT211" s="18"/>
      <c r="FU211" s="481"/>
      <c r="FV211" s="504"/>
      <c r="FW211" s="18"/>
      <c r="FX211" s="18"/>
      <c r="FY211" s="18"/>
      <c r="FZ211" s="18"/>
      <c r="GB211" s="18"/>
      <c r="GC211" s="481"/>
      <c r="GD211" s="8"/>
      <c r="GE211" s="8"/>
      <c r="GF211" s="8"/>
      <c r="GG211" s="8"/>
      <c r="GI211" s="18"/>
      <c r="GJ211" s="18"/>
      <c r="GK211" s="18"/>
      <c r="GL211" s="18"/>
      <c r="GM211" s="18"/>
      <c r="GN211" s="18"/>
      <c r="GO211" s="18"/>
      <c r="GP211" s="18"/>
    </row>
    <row r="212" spans="1:198" ht="15.6" customHeight="1" x14ac:dyDescent="0.3">
      <c r="A212" s="54" t="s">
        <v>45</v>
      </c>
      <c r="B212" s="223">
        <f t="shared" si="1724"/>
        <v>36.450131233595798</v>
      </c>
      <c r="C212" s="55" t="s">
        <v>41</v>
      </c>
      <c r="D212" s="55"/>
      <c r="E212" s="55"/>
      <c r="F212" s="55"/>
      <c r="G212" s="56" t="s">
        <v>30</v>
      </c>
      <c r="H212" s="209"/>
      <c r="I212" s="126" t="str">
        <f>A212</f>
        <v>Lavinia</v>
      </c>
      <c r="J212" s="229"/>
      <c r="K212" s="119"/>
      <c r="L212" s="119"/>
      <c r="M212" s="95"/>
      <c r="N212" s="265"/>
      <c r="O212" s="169"/>
      <c r="P212" s="169">
        <v>37.200000000000003</v>
      </c>
      <c r="Q212" s="169">
        <v>28.5</v>
      </c>
      <c r="R212" s="169"/>
      <c r="S212" s="169"/>
      <c r="T212" s="169">
        <v>6.4</v>
      </c>
      <c r="U212" s="169"/>
      <c r="V212" s="169"/>
      <c r="W212" s="169"/>
      <c r="X212" s="170"/>
      <c r="Y212" s="169"/>
      <c r="Z212" s="169"/>
      <c r="AA212" s="169"/>
      <c r="AB212" s="169">
        <v>22.2</v>
      </c>
      <c r="AC212" s="169"/>
      <c r="AD212" s="169">
        <v>7.3</v>
      </c>
      <c r="AE212" s="270">
        <v>10</v>
      </c>
      <c r="AF212" s="296"/>
      <c r="AG212" s="377"/>
      <c r="AH212" s="296"/>
      <c r="AI212" s="377"/>
      <c r="AJ212" s="298" t="s">
        <v>237</v>
      </c>
      <c r="AK212" s="47">
        <f>VLOOKUP(AJ212,Skrogform!$1:$1048576,3,FALSE)</f>
        <v>0.98</v>
      </c>
      <c r="AL212" s="57">
        <v>11.11</v>
      </c>
      <c r="AM212" s="57">
        <v>9.39</v>
      </c>
      <c r="AN212" s="57">
        <v>2.92</v>
      </c>
      <c r="AO212" s="57">
        <v>1.85</v>
      </c>
      <c r="AP212" s="57">
        <v>9.6</v>
      </c>
      <c r="AQ212" s="57">
        <v>3.4</v>
      </c>
      <c r="AR212" s="57"/>
      <c r="AS212" s="281">
        <v>16</v>
      </c>
      <c r="AT212" s="281">
        <v>390</v>
      </c>
      <c r="AU212" s="281">
        <f>ROUND(Depl*10,-2)</f>
        <v>100</v>
      </c>
      <c r="AV212" s="281">
        <f>ROUND(Depl*10,-2)</f>
        <v>100</v>
      </c>
      <c r="AW212" s="270">
        <f>Depl+Diesel/1000+Vann/1000</f>
        <v>9.7999999999999989</v>
      </c>
      <c r="AX212" s="281"/>
      <c r="AY212" s="98">
        <f>Bredde/(Loa+Lwl)*2</f>
        <v>0.28487804878048778</v>
      </c>
      <c r="AZ212" s="98">
        <f>(Kjøl+Ballast)/Depl</f>
        <v>0.35416666666666669</v>
      </c>
      <c r="BA212" s="288">
        <f>BA$7*((Depl-Kjøl-Ballast-VektMotor/1000-VektAnnet/1000)/Loa/Lwl/Bredde)</f>
        <v>0.825238997753176</v>
      </c>
      <c r="BB212" s="98">
        <f>BB$7*(Depl/Loa/Lwl/Lwl)</f>
        <v>0.73589211406339516</v>
      </c>
      <c r="BC212" s="178">
        <f>BC$7*(Depl/Loa/Lwl/Bredde)</f>
        <v>0.8747202921142242</v>
      </c>
      <c r="BD212" s="98">
        <f>BD$7*Bredde/(Loa+Lwl)*2</f>
        <v>0.81266824023078932</v>
      </c>
      <c r="BE212" s="98">
        <f>BE$7*(Dypg/Lwl)</f>
        <v>1.0776033708385424</v>
      </c>
      <c r="BF212" s="71" t="s">
        <v>42</v>
      </c>
      <c r="BG212" s="298">
        <v>2</v>
      </c>
      <c r="BH212" s="298">
        <v>50</v>
      </c>
      <c r="BI212" s="47">
        <f t="shared" si="1662"/>
        <v>0.98490487939259352</v>
      </c>
      <c r="BJ212" s="61"/>
      <c r="BK212" s="61"/>
      <c r="BM212" s="214"/>
      <c r="BN212" s="214" t="str">
        <f>$A212</f>
        <v>Lavinia</v>
      </c>
      <c r="BO212" s="10"/>
      <c r="BP212" s="10"/>
      <c r="BQ212" s="10"/>
      <c r="BR212" s="10"/>
      <c r="BS212" s="52"/>
      <c r="BT212" s="214" t="str">
        <f>$A212</f>
        <v>Lavinia</v>
      </c>
      <c r="BU212" s="10"/>
      <c r="BV212" s="10"/>
      <c r="BW212" s="10"/>
      <c r="BX212" s="10"/>
      <c r="BY212" s="10"/>
      <c r="BZ212" s="10"/>
      <c r="CA212" s="10"/>
      <c r="CB212" s="10"/>
      <c r="CC212" s="10"/>
      <c r="CD212" s="214"/>
      <c r="CE212" s="10"/>
      <c r="CF212" s="214" t="str">
        <f>$A212</f>
        <v>Lavinia</v>
      </c>
      <c r="CG212" s="212"/>
      <c r="CH212" s="212"/>
      <c r="CI212" s="119"/>
      <c r="CJ212" s="212"/>
      <c r="CK212" s="208"/>
      <c r="CL212" s="208" t="s">
        <v>26</v>
      </c>
      <c r="CM212" s="110" t="str">
        <f t="shared" si="1189"/>
        <v>-</v>
      </c>
      <c r="CN212" s="64" t="str">
        <f>IF(SeilBeregnet=0,"-",(SeilBeregnet)^(1/2)*StHfaktor/(Depl+DeplTillegg/1000+Vann/1000+Diesel/1000*0.84)^(1/3))</f>
        <v>-</v>
      </c>
      <c r="CO212" s="64" t="str">
        <f t="shared" si="1140"/>
        <v>-</v>
      </c>
      <c r="CP212" s="64" t="str">
        <f t="shared" si="1141"/>
        <v>-</v>
      </c>
      <c r="CQ212" s="110" t="str">
        <f t="shared" si="1142"/>
        <v>-</v>
      </c>
      <c r="CR212" s="172">
        <f t="shared" si="1563"/>
        <v>1.0663529411764707</v>
      </c>
      <c r="CS212" s="162">
        <v>1.03</v>
      </c>
      <c r="CT212" s="172" t="str">
        <f t="shared" si="1660"/>
        <v>-</v>
      </c>
      <c r="CU212" s="164">
        <v>1.28</v>
      </c>
      <c r="CV212" s="195" t="s">
        <v>145</v>
      </c>
      <c r="CW212" s="30" t="s">
        <v>26</v>
      </c>
      <c r="CX212" s="30" t="s">
        <v>26</v>
      </c>
      <c r="CY212" s="30" t="s">
        <v>26</v>
      </c>
      <c r="CZ212" s="153">
        <v>2022</v>
      </c>
      <c r="DA212" s="64" t="str">
        <f t="shared" si="1663"/>
        <v>-</v>
      </c>
      <c r="DB212" s="49">
        <f t="shared" si="1664"/>
        <v>13.899323816679187</v>
      </c>
      <c r="DC212" s="50">
        <f t="shared" si="1665"/>
        <v>0</v>
      </c>
      <c r="DE212" s="110" t="str">
        <f>IF(SeilBeregnet=0,"-",DE$7*(DG:DG+DE$6)*DL:DL*PropF+ErfaringsF+Dyp_F)</f>
        <v>-</v>
      </c>
      <c r="DF212" s="144" t="str">
        <f t="shared" si="1666"/>
        <v>-</v>
      </c>
      <c r="DG212" s="110" t="e">
        <f t="shared" si="1667"/>
        <v>#REF!</v>
      </c>
      <c r="DH212" s="136" t="e">
        <f>IF(SeilBeregnet=0,#REF!,(SeilBeregnet^0.5/(Depl^0.3333))^DH$3*DH$7)</f>
        <v>#REF!</v>
      </c>
      <c r="DI212" s="136" t="e">
        <f>IF(SeilBeregnet=0,#REF!,(SeilBeregnet^0.5/Lwl)^DI$3*DI$7)</f>
        <v>#REF!</v>
      </c>
      <c r="DJ212" s="136" t="e">
        <f>IF(SeilBeregnet=0,#REF!,(0.1*Loa/Depl^0.3333)^DJ$3*DJ$7)</f>
        <v>#REF!</v>
      </c>
      <c r="DK212" s="136" t="e">
        <f>IF(SeilBeregnet=0,#REF!,((Loa)/Bredde)^DK$3*DK$7)</f>
        <v>#REF!</v>
      </c>
      <c r="DL212" s="110" t="e">
        <f>IF(SeilBeregnet=0,#REF!,(Lwl)^DL$3)</f>
        <v>#REF!</v>
      </c>
      <c r="DM212" s="136" t="e">
        <f>IF(SeilBeregnet=0,#REF!,(Dypg/Loa)^DM$3*5*DM$7)</f>
        <v>#REF!</v>
      </c>
      <c r="DO212" s="110" t="str">
        <f t="shared" si="344"/>
        <v>-</v>
      </c>
      <c r="DP212" s="110" t="str">
        <f t="shared" si="1668"/>
        <v>-</v>
      </c>
      <c r="DR212" s="110" t="str">
        <f t="shared" si="1669"/>
        <v>-</v>
      </c>
      <c r="DS212" s="125" t="str">
        <f t="shared" si="1670"/>
        <v>-</v>
      </c>
      <c r="DT212" s="110" t="str">
        <f t="shared" si="1671"/>
        <v>-</v>
      </c>
      <c r="DU212" s="125" t="str">
        <f t="shared" si="1672"/>
        <v>-</v>
      </c>
      <c r="DV212" s="110">
        <f t="shared" si="1687"/>
        <v>3.5513893258102605</v>
      </c>
      <c r="DW212" s="110">
        <f t="shared" si="1688"/>
        <v>2.0822397225198168</v>
      </c>
      <c r="DX212" s="110">
        <f t="shared" si="1689"/>
        <v>1.5650845800732873</v>
      </c>
      <c r="DZ212" s="110" t="str">
        <f t="shared" si="1673"/>
        <v>-</v>
      </c>
      <c r="EB212" s="110">
        <f t="shared" si="1690"/>
        <v>3.5513893258102605</v>
      </c>
      <c r="EC212" s="110">
        <f t="shared" si="1691"/>
        <v>2.0823771893838408</v>
      </c>
      <c r="ED212" s="110">
        <f t="shared" si="1692"/>
        <v>1.8170120679720481</v>
      </c>
      <c r="EE212" s="110" t="str">
        <f t="shared" si="1674"/>
        <v>-</v>
      </c>
      <c r="EG212" s="110">
        <f t="shared" si="1693"/>
        <v>5.5582246716625061</v>
      </c>
      <c r="EH212" s="110">
        <f t="shared" si="1694"/>
        <v>3.5513893258102605</v>
      </c>
      <c r="EI212" s="110">
        <f t="shared" si="1695"/>
        <v>1.5650845800732873</v>
      </c>
      <c r="EJ212" s="110">
        <f t="shared" si="1696"/>
        <v>1.7334923825224453</v>
      </c>
      <c r="EK212" s="110" t="str">
        <f>IF(SeilBeregnet=0,"-",EK$7*(EK$4*EM:EM+EK$6)*EP:EP*PropF+ErfaringsF+Dyp_F)</f>
        <v>-</v>
      </c>
      <c r="EM212" s="110">
        <f>IF(SeilBeregnet=0,EM211,(EN:EN*EO:EO)^EM$3)</f>
        <v>1.8845130208651413</v>
      </c>
      <c r="EN212" s="110">
        <f t="shared" si="1697"/>
        <v>3.5513893258102605</v>
      </c>
      <c r="EO212" s="110">
        <f t="shared" si="1698"/>
        <v>1</v>
      </c>
      <c r="EP212" s="110">
        <f t="shared" si="1699"/>
        <v>1.762145567443743</v>
      </c>
      <c r="EQ212" s="110" t="str">
        <f>IF(SeilBeregnet=0,"-",EQ$7*(ES:ES+EQ$6)*EV:EV*PropF+ErfaringsF+Dyp_F)</f>
        <v>-</v>
      </c>
      <c r="ES212" s="110">
        <f>(ET:ET*EU:EU)^ES$3</f>
        <v>1.8845825490556896</v>
      </c>
      <c r="ET212" s="110">
        <f t="shared" si="1700"/>
        <v>3.5516513842052402</v>
      </c>
      <c r="EU212" s="110">
        <f t="shared" si="1701"/>
        <v>1</v>
      </c>
      <c r="EV212" s="110">
        <f t="shared" si="1702"/>
        <v>1.762145567443743</v>
      </c>
      <c r="EW212" s="110" t="str">
        <f>IF(SeilBeregnet=0,"-",EW$7*(EY:EY+EW$6)*FB:FB*PropF+ErfaringsF+Dyp_F)</f>
        <v>-</v>
      </c>
      <c r="EX212" s="144" t="str">
        <f t="shared" si="1675"/>
        <v>-</v>
      </c>
      <c r="EY212" s="110">
        <f>(EZ:EZ*FA:FA)^EY$3</f>
        <v>3.5516513842052402</v>
      </c>
      <c r="EZ212" s="136">
        <f t="shared" si="1703"/>
        <v>3.5516513842052402</v>
      </c>
      <c r="FA212" s="136">
        <f t="shared" si="1704"/>
        <v>1</v>
      </c>
      <c r="FB212" s="110">
        <f t="shared" si="1705"/>
        <v>0.99092727357461408</v>
      </c>
      <c r="FC212" s="110" t="str">
        <f>IF(SeilBeregnet=0,"-",FC$7*(FE:FE+FC$6)*FI:FI*PropF+ErfaringsF+Dyp_F)</f>
        <v>-</v>
      </c>
      <c r="FD212" s="144" t="str">
        <f t="shared" si="1676"/>
        <v>-</v>
      </c>
      <c r="FE212" s="110">
        <f>(FF:FF+FG:FG+FH:FH)^FE$3+FE$7</f>
        <v>5.7623039164448127</v>
      </c>
      <c r="FF212" s="136">
        <f t="shared" si="1706"/>
        <v>3.5516513842052402</v>
      </c>
      <c r="FG212" s="136">
        <f t="shared" si="1707"/>
        <v>0.89283031542619595</v>
      </c>
      <c r="FH212" s="136">
        <f t="shared" si="1708"/>
        <v>1.8178222168133764</v>
      </c>
      <c r="FI212" s="110">
        <f t="shared" si="1709"/>
        <v>1.7334923825224453</v>
      </c>
      <c r="FJ212" s="110" t="str">
        <f>IF(SeilBeregnet=0,"-",FJ$7*(FL:FL+FJ$6)*FO:FO*PropF+ErfaringsF+Dyp_F)</f>
        <v>-</v>
      </c>
      <c r="FK212" s="144" t="str">
        <f t="shared" si="1677"/>
        <v>-</v>
      </c>
      <c r="FL212" s="110">
        <f>(FM:FM*FN:FN)^FL$3</f>
        <v>6.4562707925842666</v>
      </c>
      <c r="FM212" s="136">
        <f t="shared" si="1710"/>
        <v>3.5516513842052402</v>
      </c>
      <c r="FN212" s="136">
        <f t="shared" si="1711"/>
        <v>1.8178222168133764</v>
      </c>
      <c r="FO212" s="110">
        <f t="shared" si="1712"/>
        <v>1.7334923825224453</v>
      </c>
      <c r="FQ212" s="374">
        <v>1</v>
      </c>
      <c r="FR212" s="64" t="str">
        <f t="shared" si="1678"/>
        <v>-</v>
      </c>
      <c r="FS212" s="480" t="s">
        <v>46</v>
      </c>
      <c r="FT212" s="59" t="s">
        <v>46</v>
      </c>
      <c r="FU212" s="475"/>
      <c r="FV212" s="77" t="s">
        <v>47</v>
      </c>
      <c r="FW212" s="59"/>
      <c r="FX212" s="59"/>
      <c r="FY212" s="59"/>
      <c r="FZ212" s="59"/>
      <c r="GB212" s="59" t="s">
        <v>522</v>
      </c>
      <c r="GC212" s="475" t="s">
        <v>522</v>
      </c>
      <c r="GD212" s="60" t="s">
        <v>522</v>
      </c>
      <c r="GE212" s="60" t="s">
        <v>522</v>
      </c>
      <c r="GF212" s="60" t="s">
        <v>522</v>
      </c>
      <c r="GG212" s="60" t="s">
        <v>522</v>
      </c>
      <c r="GI212" s="59"/>
      <c r="GJ212" s="59"/>
      <c r="GK212" s="59"/>
      <c r="GL212" s="59"/>
      <c r="GM212" s="59"/>
      <c r="GN212" s="59"/>
      <c r="GO212" s="59"/>
      <c r="GP212" s="59"/>
    </row>
    <row r="213" spans="1:198" ht="15.6" x14ac:dyDescent="0.3">
      <c r="A213" s="62" t="s">
        <v>48</v>
      </c>
      <c r="B213" s="223"/>
      <c r="C213" s="63" t="str">
        <f>C212</f>
        <v>Bermuda</v>
      </c>
      <c r="D213" s="63"/>
      <c r="E213" s="63"/>
      <c r="F213" s="63"/>
      <c r="G213" s="56"/>
      <c r="H213" s="209">
        <f t="shared" ref="H213:H218" si="1736">TBFavrundet</f>
        <v>104</v>
      </c>
      <c r="I213" s="65">
        <f t="shared" ref="I213:I218" si="1737">COUNTA(O213:AD213)</f>
        <v>4</v>
      </c>
      <c r="J213" s="228">
        <f t="shared" ref="J213:J218" si="1738">SUM(O213:AD213)</f>
        <v>73.099999999999994</v>
      </c>
      <c r="K213" s="119">
        <f t="shared" ref="K213:K218" si="1739">Seilareal/Depl^0.667/K$7</f>
        <v>1.4785833979495229</v>
      </c>
      <c r="L213" s="119">
        <f t="shared" ref="L213:L218" si="1740">Seilareal/Lwl/Lwl/L$7</f>
        <v>1.2579493823377226</v>
      </c>
      <c r="M213" s="95">
        <f t="shared" ref="M213:M218" si="1741">RiggF</f>
        <v>0.94876880984952117</v>
      </c>
      <c r="N213" s="265">
        <f t="shared" ref="N213:N218" si="1742">StHfaktor</f>
        <v>1.0078985048752331</v>
      </c>
      <c r="O213" s="147"/>
      <c r="P213" s="169">
        <v>37.200000000000003</v>
      </c>
      <c r="Q213" s="147"/>
      <c r="R213" s="147"/>
      <c r="S213" s="147"/>
      <c r="T213" s="169">
        <v>6.4</v>
      </c>
      <c r="U213" s="148"/>
      <c r="V213" s="148"/>
      <c r="W213" s="148"/>
      <c r="X213" s="148"/>
      <c r="Y213" s="147"/>
      <c r="Z213" s="147"/>
      <c r="AA213" s="147"/>
      <c r="AB213" s="169">
        <v>22.2</v>
      </c>
      <c r="AC213" s="147"/>
      <c r="AD213" s="169">
        <v>7.3</v>
      </c>
      <c r="AE213" s="260">
        <f t="shared" ref="AE213" si="1743">AE212</f>
        <v>10</v>
      </c>
      <c r="AF213" s="375">
        <f t="shared" si="1680"/>
        <v>0</v>
      </c>
      <c r="AG213" s="377"/>
      <c r="AH213" s="375">
        <f t="shared" si="1680"/>
        <v>0</v>
      </c>
      <c r="AI213" s="377"/>
      <c r="AJ213" s="295" t="str">
        <f t="shared" ref="AJ213" si="1744" xml:space="preserve"> AJ212</f>
        <v>Lystb</v>
      </c>
      <c r="AK213" s="47">
        <f>VLOOKUP(AJ213,Skrogform!$1:$1048576,3,FALSE)</f>
        <v>0.98</v>
      </c>
      <c r="AL213" s="66">
        <f t="shared" ref="AL213:AT214" si="1745">AL212</f>
        <v>11.11</v>
      </c>
      <c r="AM213" s="66">
        <f t="shared" si="1745"/>
        <v>9.39</v>
      </c>
      <c r="AN213" s="66">
        <f t="shared" si="1745"/>
        <v>2.92</v>
      </c>
      <c r="AO213" s="66">
        <f t="shared" si="1745"/>
        <v>1.85</v>
      </c>
      <c r="AP213" s="66">
        <f t="shared" si="1745"/>
        <v>9.6</v>
      </c>
      <c r="AQ213" s="66">
        <f t="shared" si="1745"/>
        <v>3.4</v>
      </c>
      <c r="AR213" s="66">
        <f t="shared" si="1745"/>
        <v>0</v>
      </c>
      <c r="AS213" s="284">
        <f t="shared" si="1745"/>
        <v>16</v>
      </c>
      <c r="AT213" s="284">
        <f t="shared" si="1745"/>
        <v>390</v>
      </c>
      <c r="AU213" s="284">
        <f t="shared" ref="AU213:AV213" si="1746">AU212</f>
        <v>100</v>
      </c>
      <c r="AV213" s="284">
        <f t="shared" si="1746"/>
        <v>100</v>
      </c>
      <c r="AW213" s="284"/>
      <c r="AX213" s="284">
        <f t="shared" ref="AX213:AX218" si="1747">AX212</f>
        <v>0</v>
      </c>
      <c r="AY213" s="68"/>
      <c r="AZ213" s="68"/>
      <c r="BA213" s="289"/>
      <c r="BB213" s="68"/>
      <c r="BC213" s="179"/>
      <c r="BD213" s="68"/>
      <c r="BE213" s="68"/>
      <c r="BF213" s="67" t="str">
        <f t="shared" ref="BF213:BH214" si="1748" xml:space="preserve"> BF212</f>
        <v>Fast</v>
      </c>
      <c r="BG213" s="295">
        <f t="shared" si="1748"/>
        <v>2</v>
      </c>
      <c r="BH213" s="295">
        <f t="shared" si="1748"/>
        <v>50</v>
      </c>
      <c r="BI213" s="47">
        <f t="shared" si="1662"/>
        <v>0.98490487939259352</v>
      </c>
      <c r="BJ213" s="61"/>
      <c r="BK213" s="61"/>
      <c r="BM213" s="51">
        <f t="shared" ref="BM213:BR218" si="1749">IF(O213=0,0,O213*BM$9)</f>
        <v>0</v>
      </c>
      <c r="BN213" s="51">
        <f t="shared" si="1749"/>
        <v>37.200000000000003</v>
      </c>
      <c r="BO213" s="51">
        <f t="shared" si="1749"/>
        <v>0</v>
      </c>
      <c r="BP213" s="51">
        <f t="shared" si="1749"/>
        <v>0</v>
      </c>
      <c r="BQ213" s="51">
        <f t="shared" si="1749"/>
        <v>0</v>
      </c>
      <c r="BR213" s="51">
        <f t="shared" si="1749"/>
        <v>6.4</v>
      </c>
      <c r="BS213" s="52">
        <f t="shared" ref="BS213:BS218" si="1750">IF(COUNT(P213:T213)&gt;1,MINA(P213:T213)*BS$9,0)</f>
        <v>-1.92</v>
      </c>
      <c r="BT213" s="88">
        <f t="shared" ref="BT213:CC218" si="1751">IF(U213=0,0,U213*BT$9)</f>
        <v>0</v>
      </c>
      <c r="BU213" s="88">
        <f t="shared" si="1751"/>
        <v>0</v>
      </c>
      <c r="BV213" s="88">
        <f t="shared" si="1751"/>
        <v>0</v>
      </c>
      <c r="BW213" s="88">
        <f t="shared" si="1751"/>
        <v>0</v>
      </c>
      <c r="BX213" s="88">
        <f t="shared" si="1751"/>
        <v>0</v>
      </c>
      <c r="BY213" s="88">
        <f t="shared" si="1751"/>
        <v>0</v>
      </c>
      <c r="BZ213" s="88">
        <f t="shared" si="1751"/>
        <v>0</v>
      </c>
      <c r="CA213" s="88">
        <f t="shared" si="1751"/>
        <v>22.2</v>
      </c>
      <c r="CB213" s="88">
        <f t="shared" si="1751"/>
        <v>0</v>
      </c>
      <c r="CC213" s="88">
        <f t="shared" si="1751"/>
        <v>5.4749999999999996</v>
      </c>
      <c r="CD213" s="103">
        <f t="shared" ref="CD213:CD218" si="1752">SUM(BM213:CC213)</f>
        <v>69.35499999999999</v>
      </c>
      <c r="CE213" s="52"/>
      <c r="CF213" s="109">
        <f t="shared" ref="CF213:CF218" si="1753">J213</f>
        <v>73.099999999999994</v>
      </c>
      <c r="CG213" s="104">
        <f t="shared" ref="CG213:CG222" si="1754">CD213/CF213</f>
        <v>0.94876880984952117</v>
      </c>
      <c r="CH213" s="53">
        <f t="shared" ref="CH213:CH218" si="1755">Seilareal/Lwl/Lwl</f>
        <v>0.82906043975361809</v>
      </c>
      <c r="CI213" s="119">
        <f t="shared" ref="CI213:CI218" si="1756">Seilareal/Depl^0.667/K$7</f>
        <v>1.4785833979495229</v>
      </c>
      <c r="CJ213" s="53">
        <f t="shared" ref="CJ213:CJ218" si="1757">Seilareal/Lwl/Lwl/SApRS1</f>
        <v>1.2579493823377226</v>
      </c>
      <c r="CK213" s="209"/>
      <c r="CL213" s="209">
        <f t="shared" ref="CL213:CL218" si="1758">(ROUND(TBF/CL$6,3)*CL$6)*CL$4</f>
        <v>104</v>
      </c>
      <c r="CM213" s="110">
        <f t="shared" si="1189"/>
        <v>1.0385773685864581</v>
      </c>
      <c r="CN213" s="64">
        <f>IF(SeilBeregnet=0,"-",(SeilBeregnet)^(1/2)*StHfaktor/(Depl+DeplTillegg/1000+Vann/1000+Diesel/1000*0.84)^(1/3))</f>
        <v>3.8981106701501558</v>
      </c>
      <c r="CO213" s="64">
        <f t="shared" ref="CO213:CO271" si="1759">IF(SeilBeregnet=0,"-",((Loa+Lwl)/2/Bredde)^(1/CO$7))</f>
        <v>1.8735725159712233</v>
      </c>
      <c r="CP213" s="64">
        <f t="shared" ref="CP213:CP271" si="1760">IF(SeilBeregnet=0,"-",Lwl^(1/CP$7))</f>
        <v>1.7505172633278749</v>
      </c>
      <c r="CQ213" s="110">
        <f t="shared" ref="CQ213:CQ271" si="1761">IF(SeilBeregnet=0,"-",(StH/Lwl)^(1/CQ$7))</f>
        <v>1.0078985048752331</v>
      </c>
      <c r="CR213" s="172">
        <f t="shared" si="1563"/>
        <v>1.0663529411764707</v>
      </c>
      <c r="CS213" s="163">
        <f>CS212</f>
        <v>1.03</v>
      </c>
      <c r="CT213" s="172">
        <f t="shared" si="1660"/>
        <v>0.98807017543859665</v>
      </c>
      <c r="CU213" s="163">
        <f>CU212</f>
        <v>1.28</v>
      </c>
      <c r="CV213" s="195" t="s">
        <v>145</v>
      </c>
      <c r="CW213" s="64">
        <v>1</v>
      </c>
      <c r="CX213" s="64">
        <v>0.95</v>
      </c>
      <c r="CY213" s="64">
        <v>1.04</v>
      </c>
      <c r="CZ213" s="154">
        <v>1.06</v>
      </c>
      <c r="DA213" s="64">
        <f t="shared" si="1663"/>
        <v>2.104742167486616</v>
      </c>
      <c r="DB213" s="49">
        <f t="shared" si="1664"/>
        <v>13.899323816679187</v>
      </c>
      <c r="DC213" s="50">
        <f t="shared" si="1665"/>
        <v>0</v>
      </c>
      <c r="DE213" s="110">
        <f>IF(SeilBeregnet=0,"-",DE$7*(DG:DG+DE$6)*DL:DL*PropF+ErfaringsF+Dyp_F)</f>
        <v>1.0220482958175543</v>
      </c>
      <c r="DF213" s="144" t="str">
        <f t="shared" si="1666"/>
        <v>-</v>
      </c>
      <c r="DG213" s="110">
        <f t="shared" si="1667"/>
        <v>5.8693412084816448</v>
      </c>
      <c r="DH213" s="136">
        <f>IF(SeilBeregnet=0,DH212,(SeilBeregnet^0.5/(Depl^0.3333))^DH$3*DH$7)</f>
        <v>3.9187529586072785</v>
      </c>
      <c r="DI213" s="136">
        <f>IF(SeilBeregnet=0,DI212,(SeilBeregnet^0.5/Lwl)^DI$3*DI$7)</f>
        <v>0</v>
      </c>
      <c r="DJ213" s="136">
        <f>IF(SeilBeregnet=0,DJ212,(0.1*Loa/Depl^0.3333)^DJ$3*DJ$7)</f>
        <v>0</v>
      </c>
      <c r="DK213" s="136">
        <f>IF(SeilBeregnet=0,DK212,((Loa)/Bredde)^DK$3*DK$7)</f>
        <v>1.9505882498743667</v>
      </c>
      <c r="DL213" s="110">
        <f>IF(SeilBeregnet=0,DL212,(Lwl)^DL$3)</f>
        <v>1.7505172633278749</v>
      </c>
      <c r="DM213" s="136">
        <f>IF(SeilBeregnet=0,DM212,(Dypg/Loa)^DM$3*5*DM$7)</f>
        <v>2.040322594990597</v>
      </c>
      <c r="DO213" s="110">
        <f t="shared" si="344"/>
        <v>1.0597728250882228</v>
      </c>
      <c r="DP213" s="110">
        <f t="shared" si="1668"/>
        <v>1.0297107930598723</v>
      </c>
      <c r="DR213" s="110">
        <f t="shared" si="1669"/>
        <v>1.0290486297779144</v>
      </c>
      <c r="DS213" s="125" t="str">
        <f t="shared" si="1670"/>
        <v>-</v>
      </c>
      <c r="DT213" s="110">
        <f t="shared" si="1671"/>
        <v>1.0560866903023061</v>
      </c>
      <c r="DU213" s="125" t="str">
        <f t="shared" si="1672"/>
        <v>-</v>
      </c>
      <c r="DV213" s="110">
        <f t="shared" si="1687"/>
        <v>3.9184870689030591</v>
      </c>
      <c r="DW213" s="110">
        <f t="shared" si="1688"/>
        <v>2.109548147034956</v>
      </c>
      <c r="DX213" s="110">
        <f t="shared" si="1689"/>
        <v>1.6277689216151001</v>
      </c>
      <c r="DZ213" s="110">
        <f t="shared" si="1673"/>
        <v>1.0511788155851847</v>
      </c>
      <c r="EB213" s="110">
        <f t="shared" si="1690"/>
        <v>3.9184870689030591</v>
      </c>
      <c r="EC213" s="110">
        <f t="shared" si="1691"/>
        <v>2.1096898909840953</v>
      </c>
      <c r="ED213" s="110">
        <f t="shared" si="1692"/>
        <v>1.9146767228439099</v>
      </c>
      <c r="EE213" s="110">
        <f t="shared" si="1674"/>
        <v>1.0399550219775675</v>
      </c>
      <c r="EG213" s="110">
        <f t="shared" si="1693"/>
        <v>6.3783914705110467</v>
      </c>
      <c r="EH213" s="110">
        <f t="shared" si="1694"/>
        <v>3.9184870689030591</v>
      </c>
      <c r="EI213" s="110">
        <f t="shared" si="1695"/>
        <v>1.6277689216151001</v>
      </c>
      <c r="EJ213" s="110">
        <f t="shared" si="1696"/>
        <v>1.7505172633278749</v>
      </c>
      <c r="EK213" s="110">
        <f>IF(SeilBeregnet=0,"-",EK$7*(EK$4*EM:EM+EK$6)*EP:EP*PropF+ErfaringsF+Dyp_F)</f>
        <v>1.030355406070558</v>
      </c>
      <c r="EM213" s="110">
        <f>IF(SeilBeregnet=0,EM212,(EN:EN*EO:EO)^EM$3)</f>
        <v>2.0187692404696174</v>
      </c>
      <c r="EN213" s="110">
        <f t="shared" si="1697"/>
        <v>3.9184870689030591</v>
      </c>
      <c r="EO213" s="110">
        <f t="shared" si="1698"/>
        <v>1.0400517277723595</v>
      </c>
      <c r="EP213" s="110">
        <f t="shared" si="1699"/>
        <v>1.7740856413035511</v>
      </c>
      <c r="EQ213" s="110">
        <f>IF(SeilBeregnet=0,"-",EQ$7*(ES:ES+EQ$6)*EV:EV*PropF+ErfaringsF+Dyp_F)</f>
        <v>0.96526874817992081</v>
      </c>
      <c r="ES213" s="110">
        <f>(ET:ET*EU:EU)^ES$3</f>
        <v>2.0188377312980221</v>
      </c>
      <c r="ET213" s="110">
        <f t="shared" si="1700"/>
        <v>3.9187529586072785</v>
      </c>
      <c r="EU213" s="110">
        <f t="shared" si="1701"/>
        <v>1.0400517277723595</v>
      </c>
      <c r="EV213" s="110">
        <f t="shared" si="1702"/>
        <v>1.7740856413035511</v>
      </c>
      <c r="EW213" s="110">
        <f>IF(SeilBeregnet=0,"-",EW$7*(EY:EY+EW$6)*FB:FB*PropF+ErfaringsF+Dyp_F)</f>
        <v>1.0482771675142382</v>
      </c>
      <c r="EX213" s="144" t="str">
        <f t="shared" si="1675"/>
        <v>-</v>
      </c>
      <c r="EY213" s="110">
        <f>(EZ:EZ*FA:FA)^EY$3</f>
        <v>4.2389448439061148</v>
      </c>
      <c r="EZ213" s="136">
        <f t="shared" si="1703"/>
        <v>3.9187529586072785</v>
      </c>
      <c r="FA213" s="136">
        <f t="shared" si="1704"/>
        <v>1.0817075964422702</v>
      </c>
      <c r="FB213" s="110">
        <f t="shared" si="1705"/>
        <v>0.99764167053180919</v>
      </c>
      <c r="FC213" s="110">
        <f>IF(SeilBeregnet=0,"-",FC$7*(FE:FE+FC$6)*FI:FI*PropF+ErfaringsF+Dyp_F)</f>
        <v>1.0354883377629287</v>
      </c>
      <c r="FD213" s="144" t="str">
        <f t="shared" si="1676"/>
        <v>-</v>
      </c>
      <c r="FE213" s="110">
        <f>(FF:FF+FG:FG+FH:FH)^FE$3+FE$7</f>
        <v>6.256238432921073</v>
      </c>
      <c r="FF213" s="136">
        <f t="shared" si="1706"/>
        <v>3.9187529586072785</v>
      </c>
      <c r="FG213" s="136">
        <f t="shared" si="1707"/>
        <v>0.88689722443942776</v>
      </c>
      <c r="FH213" s="136">
        <f t="shared" si="1708"/>
        <v>1.9505882498743667</v>
      </c>
      <c r="FI213" s="110">
        <f t="shared" si="1709"/>
        <v>1.7505172633278749</v>
      </c>
      <c r="FJ213" s="110">
        <f>IF(SeilBeregnet=0,"-",FJ$7*(FL:FL+FJ$6)*FO:FO*PropF+ErfaringsF+Dyp_F)</f>
        <v>1.0439062755139126</v>
      </c>
      <c r="FK213" s="144" t="str">
        <f t="shared" si="1677"/>
        <v>-</v>
      </c>
      <c r="FL213" s="110">
        <f>(FM:FM*FN:FN)^FL$3</f>
        <v>7.6438734752197677</v>
      </c>
      <c r="FM213" s="136">
        <f t="shared" si="1710"/>
        <v>3.9187529586072785</v>
      </c>
      <c r="FN213" s="136">
        <f t="shared" si="1711"/>
        <v>1.9505882498743667</v>
      </c>
      <c r="FO213" s="110">
        <f t="shared" si="1712"/>
        <v>1.7505172633278749</v>
      </c>
      <c r="FQ213" s="374">
        <v>1</v>
      </c>
      <c r="FR213" s="64">
        <f t="shared" si="1678"/>
        <v>1.2949785896504833</v>
      </c>
      <c r="FS213" s="479"/>
      <c r="FT213" s="18"/>
      <c r="FU213" s="481"/>
      <c r="FV213" s="504"/>
      <c r="FW213" s="18"/>
      <c r="FX213" s="18"/>
      <c r="FY213" s="18"/>
      <c r="FZ213" s="18"/>
      <c r="GB213" s="18"/>
      <c r="GC213" s="481"/>
      <c r="GD213" s="8"/>
      <c r="GE213" s="8"/>
      <c r="GF213" s="8"/>
      <c r="GG213" s="8"/>
      <c r="GI213" s="18"/>
      <c r="GJ213" s="18"/>
      <c r="GK213" s="18"/>
      <c r="GL213" s="18"/>
      <c r="GM213" s="18"/>
      <c r="GN213" s="18"/>
      <c r="GO213" s="18"/>
      <c r="GP213" s="18"/>
    </row>
    <row r="214" spans="1:198" ht="15.6" x14ac:dyDescent="0.3">
      <c r="A214" s="62" t="s">
        <v>49</v>
      </c>
      <c r="B214" s="223"/>
      <c r="C214" s="63" t="str">
        <f t="shared" ref="C214:C218" si="1762">C213</f>
        <v>Bermuda</v>
      </c>
      <c r="D214" s="63"/>
      <c r="E214" s="63"/>
      <c r="F214" s="63"/>
      <c r="G214" s="56"/>
      <c r="H214" s="209">
        <f t="shared" si="1736"/>
        <v>101.50000000000001</v>
      </c>
      <c r="I214" s="65">
        <f t="shared" si="1737"/>
        <v>3</v>
      </c>
      <c r="J214" s="228">
        <f t="shared" si="1738"/>
        <v>66.7</v>
      </c>
      <c r="K214" s="119">
        <f t="shared" si="1739"/>
        <v>1.3491314999074309</v>
      </c>
      <c r="L214" s="119">
        <f t="shared" si="1740"/>
        <v>1.1478142790961163</v>
      </c>
      <c r="M214" s="95">
        <f t="shared" si="1741"/>
        <v>0.97263868065967007</v>
      </c>
      <c r="N214" s="265">
        <f t="shared" si="1742"/>
        <v>1.0078985048752331</v>
      </c>
      <c r="O214" s="147"/>
      <c r="P214" s="169">
        <v>37.200000000000003</v>
      </c>
      <c r="Q214" s="147"/>
      <c r="R214" s="147"/>
      <c r="S214" s="147"/>
      <c r="T214" s="147"/>
      <c r="U214" s="148"/>
      <c r="V214" s="148"/>
      <c r="W214" s="148"/>
      <c r="X214" s="148"/>
      <c r="Y214" s="147"/>
      <c r="Z214" s="147"/>
      <c r="AA214" s="147"/>
      <c r="AB214" s="169">
        <v>22.2</v>
      </c>
      <c r="AC214" s="147"/>
      <c r="AD214" s="169">
        <v>7.3</v>
      </c>
      <c r="AE214" s="260">
        <f t="shared" ref="AE214" si="1763">AE213</f>
        <v>10</v>
      </c>
      <c r="AF214" s="375">
        <f t="shared" si="1680"/>
        <v>0</v>
      </c>
      <c r="AG214" s="377"/>
      <c r="AH214" s="375">
        <f t="shared" si="1680"/>
        <v>0</v>
      </c>
      <c r="AI214" s="377"/>
      <c r="AJ214" s="295" t="str">
        <f t="shared" ref="AJ214" si="1764" xml:space="preserve"> AJ213</f>
        <v>Lystb</v>
      </c>
      <c r="AK214" s="47">
        <f>VLOOKUP(AJ214,Skrogform!$1:$1048576,3,FALSE)</f>
        <v>0.98</v>
      </c>
      <c r="AL214" s="66">
        <f t="shared" si="1745"/>
        <v>11.11</v>
      </c>
      <c r="AM214" s="66">
        <f t="shared" si="1745"/>
        <v>9.39</v>
      </c>
      <c r="AN214" s="66">
        <f t="shared" si="1745"/>
        <v>2.92</v>
      </c>
      <c r="AO214" s="66">
        <f t="shared" si="1745"/>
        <v>1.85</v>
      </c>
      <c r="AP214" s="66">
        <f t="shared" si="1745"/>
        <v>9.6</v>
      </c>
      <c r="AQ214" s="66">
        <f t="shared" si="1745"/>
        <v>3.4</v>
      </c>
      <c r="AR214" s="66">
        <f t="shared" si="1745"/>
        <v>0</v>
      </c>
      <c r="AS214" s="284">
        <f t="shared" ref="AS214:AT214" si="1765">AS213</f>
        <v>16</v>
      </c>
      <c r="AT214" s="284">
        <f t="shared" si="1765"/>
        <v>390</v>
      </c>
      <c r="AU214" s="284">
        <f t="shared" ref="AU214:AV214" si="1766">AU213</f>
        <v>100</v>
      </c>
      <c r="AV214" s="284">
        <f t="shared" si="1766"/>
        <v>100</v>
      </c>
      <c r="AW214" s="284"/>
      <c r="AX214" s="284">
        <f t="shared" si="1747"/>
        <v>0</v>
      </c>
      <c r="AY214" s="68"/>
      <c r="AZ214" s="68"/>
      <c r="BA214" s="289"/>
      <c r="BB214" s="68"/>
      <c r="BC214" s="179"/>
      <c r="BD214" s="68"/>
      <c r="BE214" s="68"/>
      <c r="BF214" s="67" t="str">
        <f t="shared" si="1748"/>
        <v>Fast</v>
      </c>
      <c r="BG214" s="295">
        <f t="shared" si="1748"/>
        <v>2</v>
      </c>
      <c r="BH214" s="295">
        <f t="shared" si="1748"/>
        <v>50</v>
      </c>
      <c r="BI214" s="47">
        <f t="shared" si="1662"/>
        <v>0.98490487939259352</v>
      </c>
      <c r="BJ214" s="61"/>
      <c r="BK214" s="61"/>
      <c r="BM214" s="51">
        <f t="shared" si="1749"/>
        <v>0</v>
      </c>
      <c r="BN214" s="51">
        <f t="shared" si="1749"/>
        <v>37.200000000000003</v>
      </c>
      <c r="BO214" s="51">
        <f t="shared" si="1749"/>
        <v>0</v>
      </c>
      <c r="BP214" s="51">
        <f t="shared" si="1749"/>
        <v>0</v>
      </c>
      <c r="BQ214" s="51">
        <f t="shared" si="1749"/>
        <v>0</v>
      </c>
      <c r="BR214" s="51">
        <f t="shared" si="1749"/>
        <v>0</v>
      </c>
      <c r="BS214" s="52">
        <f t="shared" si="1750"/>
        <v>0</v>
      </c>
      <c r="BT214" s="88">
        <f t="shared" si="1751"/>
        <v>0</v>
      </c>
      <c r="BU214" s="88">
        <f t="shared" si="1751"/>
        <v>0</v>
      </c>
      <c r="BV214" s="88">
        <f t="shared" si="1751"/>
        <v>0</v>
      </c>
      <c r="BW214" s="88">
        <f t="shared" si="1751"/>
        <v>0</v>
      </c>
      <c r="BX214" s="88">
        <f t="shared" si="1751"/>
        <v>0</v>
      </c>
      <c r="BY214" s="88">
        <f t="shared" si="1751"/>
        <v>0</v>
      </c>
      <c r="BZ214" s="88">
        <f t="shared" si="1751"/>
        <v>0</v>
      </c>
      <c r="CA214" s="88">
        <f t="shared" si="1751"/>
        <v>22.2</v>
      </c>
      <c r="CB214" s="88">
        <f t="shared" si="1751"/>
        <v>0</v>
      </c>
      <c r="CC214" s="88">
        <f t="shared" si="1751"/>
        <v>5.4749999999999996</v>
      </c>
      <c r="CD214" s="103">
        <f t="shared" si="1752"/>
        <v>64.875</v>
      </c>
      <c r="CE214" s="52"/>
      <c r="CF214" s="109">
        <f t="shared" si="1753"/>
        <v>66.7</v>
      </c>
      <c r="CG214" s="104">
        <f t="shared" si="1754"/>
        <v>0.97263868065967007</v>
      </c>
      <c r="CH214" s="53">
        <f t="shared" si="1755"/>
        <v>0.7564751208148609</v>
      </c>
      <c r="CI214" s="119">
        <f t="shared" si="1756"/>
        <v>1.3491314999074309</v>
      </c>
      <c r="CJ214" s="53">
        <f t="shared" si="1757"/>
        <v>1.1478142790961163</v>
      </c>
      <c r="CK214" s="209"/>
      <c r="CL214" s="209">
        <f t="shared" si="1758"/>
        <v>101.50000000000001</v>
      </c>
      <c r="CM214" s="110">
        <f t="shared" si="1189"/>
        <v>1.0155443761319691</v>
      </c>
      <c r="CN214" s="64">
        <f>IF(SeilBeregnet=0,"-",(SeilBeregnet)^(1/2)*StHfaktor/(Depl+DeplTillegg/1000+Vann/1000+Diesel/1000*0.84)^(1/3))</f>
        <v>3.7701094838191169</v>
      </c>
      <c r="CO214" s="64">
        <f t="shared" si="1759"/>
        <v>1.8735725159712233</v>
      </c>
      <c r="CP214" s="64">
        <f t="shared" si="1760"/>
        <v>1.7505172633278749</v>
      </c>
      <c r="CQ214" s="110">
        <f t="shared" si="1761"/>
        <v>1.0078985048752331</v>
      </c>
      <c r="CR214" s="172" t="str">
        <f t="shared" si="1563"/>
        <v>-</v>
      </c>
      <c r="CS214" s="162"/>
      <c r="CT214" s="172" t="str">
        <f t="shared" si="1660"/>
        <v>-</v>
      </c>
      <c r="CU214" s="164"/>
      <c r="CV214" s="195" t="s">
        <v>145</v>
      </c>
      <c r="CW214" s="64">
        <v>0.98</v>
      </c>
      <c r="CX214" s="64">
        <v>0.93</v>
      </c>
      <c r="CY214" s="64">
        <v>1.02</v>
      </c>
      <c r="CZ214" s="154">
        <v>1.04</v>
      </c>
      <c r="DA214" s="64">
        <f t="shared" si="1663"/>
        <v>2.104742167486616</v>
      </c>
      <c r="DB214" s="49">
        <f t="shared" si="1664"/>
        <v>13.899323816679187</v>
      </c>
      <c r="DC214" s="50">
        <f t="shared" si="1665"/>
        <v>0</v>
      </c>
      <c r="DE214" s="110">
        <f>IF(SeilBeregnet=0,"-",DE$7*(DG:DG+DE$6)*DL:DL*PropF+ErfaringsF+Dyp_F)</f>
        <v>0.99964098301871618</v>
      </c>
      <c r="DF214" s="144">
        <f t="shared" si="1666"/>
        <v>-3.6628788544517676</v>
      </c>
      <c r="DG214" s="110">
        <f t="shared" si="1667"/>
        <v>5.7406621970105114</v>
      </c>
      <c r="DH214" s="136">
        <f>IF(SeilBeregnet=0,DH213,(SeilBeregnet^0.5/(Depl^0.3333))^DH$3*DH$7)</f>
        <v>3.7900739471361451</v>
      </c>
      <c r="DI214" s="136">
        <f>IF(SeilBeregnet=0,DI213,(SeilBeregnet^0.5/Lwl)^DI$3*DI$7)</f>
        <v>0</v>
      </c>
      <c r="DJ214" s="136">
        <f>IF(SeilBeregnet=0,DJ213,(0.1*Loa/Depl^0.3333)^DJ$3*DJ$7)</f>
        <v>0</v>
      </c>
      <c r="DK214" s="136">
        <f>IF(SeilBeregnet=0,DK213,((Loa)/Bredde)^DK$3*DK$7)</f>
        <v>1.9505882498743667</v>
      </c>
      <c r="DL214" s="110">
        <f>IF(SeilBeregnet=0,DL213,(Lwl)^DL$3)</f>
        <v>1.7505172633278749</v>
      </c>
      <c r="DM214" s="136">
        <f>IF(SeilBeregnet=0,DM213,(Dypg/Loa)^DM$3*5*DM$7)</f>
        <v>2.040322594990597</v>
      </c>
      <c r="DO214" s="110">
        <f t="shared" si="344"/>
        <v>1.0362697715632339</v>
      </c>
      <c r="DP214" s="110">
        <f t="shared" si="1668"/>
        <v>1.0023775324762603</v>
      </c>
      <c r="DQ214" s="125">
        <f>DP214-DO214</f>
        <v>-3.3892239086973586E-2</v>
      </c>
      <c r="DR214" s="110">
        <f t="shared" si="1669"/>
        <v>1.006288790680727</v>
      </c>
      <c r="DS214" s="125">
        <f t="shared" si="1670"/>
        <v>-2.9980980882506891E-2</v>
      </c>
      <c r="DT214" s="110">
        <f t="shared" si="1671"/>
        <v>1.0288162434524426</v>
      </c>
      <c r="DU214" s="125">
        <f t="shared" si="1672"/>
        <v>-7.4535281107912521E-3</v>
      </c>
      <c r="DV214" s="110">
        <f t="shared" si="1687"/>
        <v>3.7898167883789031</v>
      </c>
      <c r="DW214" s="110">
        <f t="shared" si="1688"/>
        <v>2.109548147034956</v>
      </c>
      <c r="DX214" s="110">
        <f t="shared" si="1689"/>
        <v>1.6277689216151001</v>
      </c>
      <c r="DZ214" s="110">
        <f t="shared" si="1673"/>
        <v>1.0262544259979314</v>
      </c>
      <c r="EB214" s="110">
        <f t="shared" si="1690"/>
        <v>3.7898167883789031</v>
      </c>
      <c r="EC214" s="110">
        <f t="shared" si="1691"/>
        <v>2.1096898909840953</v>
      </c>
      <c r="ED214" s="110">
        <f t="shared" si="1692"/>
        <v>1.9146767228439099</v>
      </c>
      <c r="EE214" s="110">
        <f t="shared" si="1674"/>
        <v>1.0139579217648851</v>
      </c>
      <c r="EG214" s="110">
        <f t="shared" si="1693"/>
        <v>6.1689459867383292</v>
      </c>
      <c r="EH214" s="110">
        <f t="shared" si="1694"/>
        <v>3.7898167883789031</v>
      </c>
      <c r="EI214" s="110">
        <f t="shared" si="1695"/>
        <v>1.6277689216151001</v>
      </c>
      <c r="EJ214" s="110">
        <f t="shared" si="1696"/>
        <v>1.7505172633278749</v>
      </c>
      <c r="EK214" s="110">
        <f>IF(SeilBeregnet=0,"-",EK$7*(EK$4*EM:EM+EK$6)*EP:EP*PropF+ErfaringsF+Dyp_F)</f>
        <v>1.0076817426190867</v>
      </c>
      <c r="EM214" s="110">
        <f>IF(SeilBeregnet=0,EM213,(EN:EN*EO:EO)^EM$3)</f>
        <v>1.9853477022159551</v>
      </c>
      <c r="EN214" s="110">
        <f t="shared" si="1697"/>
        <v>3.7898167883789031</v>
      </c>
      <c r="EO214" s="110">
        <f t="shared" si="1698"/>
        <v>1.0400517277723595</v>
      </c>
      <c r="EP214" s="110">
        <f t="shared" si="1699"/>
        <v>1.7740856413035511</v>
      </c>
      <c r="EQ214" s="110">
        <f>IF(SeilBeregnet=0,"-",EQ$7*(ES:ES+EQ$6)*EV:EV*PropF+ErfaringsF+Dyp_F)</f>
        <v>0.94928833509176869</v>
      </c>
      <c r="ES214" s="110">
        <f>(ET:ET*EU:EU)^ES$3</f>
        <v>1.9854150591510971</v>
      </c>
      <c r="ET214" s="110">
        <f t="shared" si="1700"/>
        <v>3.7900739471361451</v>
      </c>
      <c r="EU214" s="110">
        <f t="shared" si="1701"/>
        <v>1.0400517277723595</v>
      </c>
      <c r="EV214" s="110">
        <f t="shared" si="1702"/>
        <v>1.7740856413035511</v>
      </c>
      <c r="EW214" s="110">
        <f>IF(SeilBeregnet=0,"-",EW$7*(EY:EY+EW$6)*FB:FB*PropF+ErfaringsF+Dyp_F)</f>
        <v>1.024889733462587</v>
      </c>
      <c r="EX214" s="144">
        <f t="shared" si="1675"/>
        <v>-1.1380038100646805</v>
      </c>
      <c r="EY214" s="110">
        <f>(EZ:EZ*FA:FA)^EY$3</f>
        <v>4.0997517796951071</v>
      </c>
      <c r="EZ214" s="136">
        <f t="shared" si="1703"/>
        <v>3.7900739471361451</v>
      </c>
      <c r="FA214" s="136">
        <f t="shared" si="1704"/>
        <v>1.0817075964422702</v>
      </c>
      <c r="FB214" s="110">
        <f t="shared" si="1705"/>
        <v>0.99764167053180919</v>
      </c>
      <c r="FC214" s="110">
        <f>IF(SeilBeregnet=0,"-",FC$7*(FE:FE+FC$6)*FI:FI*PropF+ErfaringsF+Dyp_F)</f>
        <v>1.0093700980148681</v>
      </c>
      <c r="FD214" s="144">
        <f t="shared" si="1676"/>
        <v>-2.6899673548365755</v>
      </c>
      <c r="FE214" s="110">
        <f>(FF:FF+FG:FG+FH:FH)^FE$3+FE$7</f>
        <v>6.0984366215891601</v>
      </c>
      <c r="FF214" s="136">
        <f t="shared" si="1706"/>
        <v>3.7900739471361451</v>
      </c>
      <c r="FG214" s="136">
        <f t="shared" si="1707"/>
        <v>0.85777442457864816</v>
      </c>
      <c r="FH214" s="136">
        <f t="shared" si="1708"/>
        <v>1.9505882498743667</v>
      </c>
      <c r="FI214" s="110">
        <f t="shared" si="1709"/>
        <v>1.7505172633278749</v>
      </c>
      <c r="FJ214" s="110">
        <f>IF(SeilBeregnet=0,"-",FJ$7*(FL:FL+FJ$6)*FO:FO*PropF+ErfaringsF+Dyp_F)</f>
        <v>1.0214034345738432</v>
      </c>
      <c r="FK214" s="144">
        <f t="shared" si="1677"/>
        <v>-1.4866336989390661</v>
      </c>
      <c r="FL214" s="110">
        <f>(FM:FM*FN:FN)^FL$3</f>
        <v>7.3928737074387261</v>
      </c>
      <c r="FM214" s="136">
        <f t="shared" si="1710"/>
        <v>3.7900739471361451</v>
      </c>
      <c r="FN214" s="136">
        <f t="shared" si="1711"/>
        <v>1.9505882498743667</v>
      </c>
      <c r="FO214" s="110">
        <f t="shared" si="1712"/>
        <v>1.7505172633278749</v>
      </c>
      <c r="FQ214" s="374">
        <v>1</v>
      </c>
      <c r="FR214" s="64">
        <f t="shared" si="1678"/>
        <v>1.2739119261247762</v>
      </c>
      <c r="FS214" s="479"/>
      <c r="FT214" s="18"/>
      <c r="FU214" s="481"/>
      <c r="FV214" s="504"/>
      <c r="FW214" s="18"/>
      <c r="FX214" s="18"/>
      <c r="FY214" s="18"/>
      <c r="FZ214" s="18"/>
      <c r="GB214" s="18"/>
      <c r="GC214" s="481"/>
      <c r="GD214" s="8"/>
      <c r="GE214" s="8"/>
      <c r="GF214" s="8"/>
      <c r="GG214" s="8"/>
      <c r="GI214" s="18"/>
      <c r="GJ214" s="18"/>
      <c r="GK214" s="18"/>
      <c r="GL214" s="18"/>
      <c r="GM214" s="18"/>
      <c r="GN214" s="18"/>
      <c r="GO214" s="18"/>
      <c r="GP214" s="18"/>
    </row>
    <row r="215" spans="1:198" ht="15.6" x14ac:dyDescent="0.3">
      <c r="A215" s="62" t="s">
        <v>67</v>
      </c>
      <c r="B215" s="223"/>
      <c r="C215" s="63" t="str">
        <f t="shared" si="1762"/>
        <v>Bermuda</v>
      </c>
      <c r="D215" s="63"/>
      <c r="E215" s="63"/>
      <c r="F215" s="63"/>
      <c r="G215" s="56"/>
      <c r="H215" s="209">
        <f t="shared" si="1736"/>
        <v>99.500000000000014</v>
      </c>
      <c r="I215" s="65">
        <f t="shared" si="1737"/>
        <v>4</v>
      </c>
      <c r="J215" s="228">
        <f t="shared" si="1738"/>
        <v>64.399999999999991</v>
      </c>
      <c r="K215" s="119">
        <f t="shared" si="1739"/>
        <v>1.3026097240485537</v>
      </c>
      <c r="L215" s="119">
        <f t="shared" si="1740"/>
        <v>1.1082344763686638</v>
      </c>
      <c r="M215" s="95">
        <f t="shared" si="1741"/>
        <v>0.94184782608695661</v>
      </c>
      <c r="N215" s="265">
        <f t="shared" si="1742"/>
        <v>1.0078985048752331</v>
      </c>
      <c r="O215" s="147"/>
      <c r="P215" s="147"/>
      <c r="Q215" s="169">
        <v>28.5</v>
      </c>
      <c r="R215" s="147"/>
      <c r="S215" s="147"/>
      <c r="T215" s="169">
        <v>6.4</v>
      </c>
      <c r="U215" s="148"/>
      <c r="V215" s="148"/>
      <c r="W215" s="148"/>
      <c r="X215" s="148"/>
      <c r="Y215" s="147"/>
      <c r="Z215" s="147"/>
      <c r="AA215" s="147"/>
      <c r="AB215" s="169">
        <v>22.2</v>
      </c>
      <c r="AC215" s="147"/>
      <c r="AD215" s="169">
        <v>7.3</v>
      </c>
      <c r="AE215" s="260">
        <f t="shared" ref="AE215:AE218" si="1767">AE214</f>
        <v>10</v>
      </c>
      <c r="AF215" s="375">
        <f t="shared" si="1680"/>
        <v>0</v>
      </c>
      <c r="AG215" s="377"/>
      <c r="AH215" s="375">
        <f t="shared" si="1680"/>
        <v>0</v>
      </c>
      <c r="AI215" s="377"/>
      <c r="AJ215" s="295" t="str">
        <f t="shared" ref="AJ215" si="1768" xml:space="preserve"> AJ214</f>
        <v>Lystb</v>
      </c>
      <c r="AK215" s="47">
        <f>VLOOKUP(AJ215,Skrogform!$1:$1048576,3,FALSE)</f>
        <v>0.98</v>
      </c>
      <c r="AL215" s="66">
        <f t="shared" ref="AL215:AT215" si="1769">AL214</f>
        <v>11.11</v>
      </c>
      <c r="AM215" s="66">
        <f t="shared" si="1769"/>
        <v>9.39</v>
      </c>
      <c r="AN215" s="66">
        <f t="shared" si="1769"/>
        <v>2.92</v>
      </c>
      <c r="AO215" s="66">
        <f t="shared" si="1769"/>
        <v>1.85</v>
      </c>
      <c r="AP215" s="66">
        <f t="shared" si="1769"/>
        <v>9.6</v>
      </c>
      <c r="AQ215" s="66">
        <f t="shared" si="1769"/>
        <v>3.4</v>
      </c>
      <c r="AR215" s="66">
        <f t="shared" si="1769"/>
        <v>0</v>
      </c>
      <c r="AS215" s="284">
        <f t="shared" si="1769"/>
        <v>16</v>
      </c>
      <c r="AT215" s="284">
        <f t="shared" si="1769"/>
        <v>390</v>
      </c>
      <c r="AU215" s="284">
        <f t="shared" ref="AU215:AV215" si="1770">AU214</f>
        <v>100</v>
      </c>
      <c r="AV215" s="284">
        <f t="shared" si="1770"/>
        <v>100</v>
      </c>
      <c r="AW215" s="284"/>
      <c r="AX215" s="284">
        <f t="shared" si="1747"/>
        <v>0</v>
      </c>
      <c r="AY215" s="68"/>
      <c r="AZ215" s="68"/>
      <c r="BA215" s="289"/>
      <c r="BB215" s="68"/>
      <c r="BC215" s="179"/>
      <c r="BD215" s="68"/>
      <c r="BE215" s="68"/>
      <c r="BF215" s="67" t="str">
        <f t="shared" ref="BF215:BH215" si="1771" xml:space="preserve"> BF214</f>
        <v>Fast</v>
      </c>
      <c r="BG215" s="295">
        <f t="shared" si="1771"/>
        <v>2</v>
      </c>
      <c r="BH215" s="295">
        <f t="shared" si="1771"/>
        <v>50</v>
      </c>
      <c r="BI215" s="47">
        <f t="shared" si="1662"/>
        <v>0.98490487939259352</v>
      </c>
      <c r="BJ215" s="61"/>
      <c r="BK215" s="61"/>
      <c r="BM215" s="51">
        <f t="shared" si="1749"/>
        <v>0</v>
      </c>
      <c r="BN215" s="51">
        <f t="shared" si="1749"/>
        <v>0</v>
      </c>
      <c r="BO215" s="51">
        <f t="shared" si="1749"/>
        <v>28.5</v>
      </c>
      <c r="BP215" s="51">
        <f t="shared" si="1749"/>
        <v>0</v>
      </c>
      <c r="BQ215" s="51">
        <f t="shared" si="1749"/>
        <v>0</v>
      </c>
      <c r="BR215" s="51">
        <f t="shared" si="1749"/>
        <v>6.4</v>
      </c>
      <c r="BS215" s="52">
        <f t="shared" si="1750"/>
        <v>-1.92</v>
      </c>
      <c r="BT215" s="88">
        <f t="shared" si="1751"/>
        <v>0</v>
      </c>
      <c r="BU215" s="88">
        <f t="shared" si="1751"/>
        <v>0</v>
      </c>
      <c r="BV215" s="88">
        <f t="shared" si="1751"/>
        <v>0</v>
      </c>
      <c r="BW215" s="88">
        <f t="shared" si="1751"/>
        <v>0</v>
      </c>
      <c r="BX215" s="88">
        <f t="shared" si="1751"/>
        <v>0</v>
      </c>
      <c r="BY215" s="88">
        <f t="shared" si="1751"/>
        <v>0</v>
      </c>
      <c r="BZ215" s="88">
        <f t="shared" si="1751"/>
        <v>0</v>
      </c>
      <c r="CA215" s="88">
        <f t="shared" si="1751"/>
        <v>22.2</v>
      </c>
      <c r="CB215" s="88">
        <f t="shared" si="1751"/>
        <v>0</v>
      </c>
      <c r="CC215" s="88">
        <f t="shared" si="1751"/>
        <v>5.4749999999999996</v>
      </c>
      <c r="CD215" s="103">
        <f t="shared" si="1752"/>
        <v>60.654999999999994</v>
      </c>
      <c r="CE215" s="52"/>
      <c r="CF215" s="109">
        <f t="shared" si="1753"/>
        <v>64.399999999999991</v>
      </c>
      <c r="CG215" s="104">
        <f t="shared" si="1754"/>
        <v>0.94184782608695661</v>
      </c>
      <c r="CH215" s="53">
        <f t="shared" si="1755"/>
        <v>0.73038977182124487</v>
      </c>
      <c r="CI215" s="119">
        <f t="shared" si="1756"/>
        <v>1.3026097240485537</v>
      </c>
      <c r="CJ215" s="53">
        <f t="shared" si="1757"/>
        <v>1.1082344763686638</v>
      </c>
      <c r="CK215" s="209"/>
      <c r="CL215" s="209">
        <f t="shared" si="1758"/>
        <v>99.500000000000014</v>
      </c>
      <c r="CM215" s="110">
        <f t="shared" ref="CM215:CM271" si="1772">IF(SeilBeregnet=0,"-",CM$7*(SaDeplf+LBf)*Lf*Skrogfaktor*PropF*(Mast+1)+ErfaringsF)</f>
        <v>0.99310882649767973</v>
      </c>
      <c r="CN215" s="64">
        <f>IF(SeilBeregnet=0,"-",(SeilBeregnet)^(1/2)*StHfaktor/(Depl+DeplTillegg/1000+Vann/1000+Diesel/1000*0.84)^(1/3))</f>
        <v>3.6454284648480781</v>
      </c>
      <c r="CO215" s="64">
        <f t="shared" si="1759"/>
        <v>1.8735725159712233</v>
      </c>
      <c r="CP215" s="64">
        <f t="shared" si="1760"/>
        <v>1.7505172633278749</v>
      </c>
      <c r="CQ215" s="110">
        <f t="shared" si="1761"/>
        <v>1.0078985048752331</v>
      </c>
      <c r="CR215" s="172" t="str">
        <f t="shared" si="1563"/>
        <v>-</v>
      </c>
      <c r="CS215" s="162"/>
      <c r="CT215" s="172" t="str">
        <f t="shared" si="1660"/>
        <v>-</v>
      </c>
      <c r="CU215" s="164"/>
      <c r="CV215" s="195" t="s">
        <v>145</v>
      </c>
      <c r="CW215" s="64">
        <v>0.95</v>
      </c>
      <c r="CX215" s="64">
        <v>0.91</v>
      </c>
      <c r="CY215" s="64">
        <v>0.99</v>
      </c>
      <c r="CZ215" s="154">
        <v>1.01</v>
      </c>
      <c r="DA215" s="64">
        <f t="shared" si="1663"/>
        <v>2.104742167486616</v>
      </c>
      <c r="DB215" s="49">
        <f t="shared" si="1664"/>
        <v>13.899323816679187</v>
      </c>
      <c r="DC215" s="50">
        <f t="shared" si="1665"/>
        <v>0</v>
      </c>
      <c r="DE215" s="110">
        <f>IF(SeilBeregnet=0,"-",DE$7*(DG:DG+DE$6)*DL:DL*PropF+ErfaringsF+Dyp_F)</f>
        <v>0.97781488380634884</v>
      </c>
      <c r="DF215" s="144">
        <f t="shared" si="1666"/>
        <v>-3.556146976271235</v>
      </c>
      <c r="DG215" s="110">
        <f t="shared" si="1667"/>
        <v>5.6153209347122539</v>
      </c>
      <c r="DH215" s="136">
        <f>IF(SeilBeregnet=0,DH214,(SeilBeregnet^0.5/(Depl^0.3333))^DH$3*DH$7)</f>
        <v>3.6647326848378872</v>
      </c>
      <c r="DI215" s="136">
        <f>IF(SeilBeregnet=0,DI214,(SeilBeregnet^0.5/Lwl)^DI$3*DI$7)</f>
        <v>0</v>
      </c>
      <c r="DJ215" s="136">
        <f>IF(SeilBeregnet=0,DJ214,(0.1*Loa/Depl^0.3333)^DJ$3*DJ$7)</f>
        <v>0</v>
      </c>
      <c r="DK215" s="136">
        <f>IF(SeilBeregnet=0,DK214,((Loa)/Bredde)^DK$3*DK$7)</f>
        <v>1.9505882498743667</v>
      </c>
      <c r="DL215" s="110">
        <f>IF(SeilBeregnet=0,DL214,(Lwl)^DL$3)</f>
        <v>1.7505172633278749</v>
      </c>
      <c r="DM215" s="136">
        <f>IF(SeilBeregnet=0,DM214,(Dypg/Loa)^DM$3*5*DM$7)</f>
        <v>2.040322594990597</v>
      </c>
      <c r="DO215" s="110">
        <f t="shared" si="344"/>
        <v>1.0133763535690612</v>
      </c>
      <c r="DP215" s="110">
        <f t="shared" si="1668"/>
        <v>0.97575325750624509</v>
      </c>
      <c r="DQ215" s="125">
        <f>DP215-DO215</f>
        <v>-3.7623096062816108E-2</v>
      </c>
      <c r="DR215" s="110">
        <f t="shared" si="1669"/>
        <v>0.98411930919705315</v>
      </c>
      <c r="DS215" s="125">
        <f t="shared" si="1670"/>
        <v>-2.9257044372008045E-2</v>
      </c>
      <c r="DT215" s="110">
        <f t="shared" si="1671"/>
        <v>1.0022531529179286</v>
      </c>
      <c r="DU215" s="125">
        <f t="shared" si="1672"/>
        <v>-1.1123200651132592E-2</v>
      </c>
      <c r="DV215" s="110">
        <f t="shared" si="1687"/>
        <v>3.6644840305593687</v>
      </c>
      <c r="DW215" s="110">
        <f t="shared" si="1688"/>
        <v>2.109548147034956</v>
      </c>
      <c r="DX215" s="110">
        <f t="shared" si="1689"/>
        <v>1.6277689216151001</v>
      </c>
      <c r="DZ215" s="110">
        <f t="shared" si="1673"/>
        <v>1.0019765393623108</v>
      </c>
      <c r="EB215" s="110">
        <f t="shared" si="1690"/>
        <v>3.6644840305593687</v>
      </c>
      <c r="EC215" s="110">
        <f t="shared" si="1691"/>
        <v>2.1096898909840953</v>
      </c>
      <c r="ED215" s="110">
        <f t="shared" si="1692"/>
        <v>1.9146767228439099</v>
      </c>
      <c r="EE215" s="110">
        <f t="shared" si="1674"/>
        <v>0.98863514908036765</v>
      </c>
      <c r="EG215" s="110">
        <f t="shared" si="1693"/>
        <v>5.9649332186993789</v>
      </c>
      <c r="EH215" s="110">
        <f t="shared" si="1694"/>
        <v>3.6644840305593687</v>
      </c>
      <c r="EI215" s="110">
        <f t="shared" si="1695"/>
        <v>1.6277689216151001</v>
      </c>
      <c r="EJ215" s="110">
        <f t="shared" si="1696"/>
        <v>1.7505172633278749</v>
      </c>
      <c r="EK215" s="110">
        <f>IF(SeilBeregnet=0,"-",EK$7*(EK$4*EM:EM+EK$6)*EP:EP*PropF+ErfaringsF+Dyp_F)</f>
        <v>0.98522306298645157</v>
      </c>
      <c r="EM215" s="110">
        <f>IF(SeilBeregnet=0,EM214,(EN:EN*EO:EO)^EM$3)</f>
        <v>1.9522430554051131</v>
      </c>
      <c r="EN215" s="110">
        <f t="shared" si="1697"/>
        <v>3.6644840305593687</v>
      </c>
      <c r="EO215" s="110">
        <f t="shared" si="1698"/>
        <v>1.0400517277723595</v>
      </c>
      <c r="EP215" s="110">
        <f t="shared" si="1699"/>
        <v>1.7740856413035511</v>
      </c>
      <c r="EQ215" s="110">
        <f>IF(SeilBeregnet=0,"-",EQ$7*(ES:ES+EQ$6)*EV:EV*PropF+ErfaringsF+Dyp_F)</f>
        <v>0.93345944274218706</v>
      </c>
      <c r="ES215" s="110">
        <f>(ET:ET*EU:EU)^ES$3</f>
        <v>1.9523092891981748</v>
      </c>
      <c r="ET215" s="110">
        <f t="shared" si="1700"/>
        <v>3.6647326848378872</v>
      </c>
      <c r="EU215" s="110">
        <f t="shared" si="1701"/>
        <v>1.0400517277723595</v>
      </c>
      <c r="EV215" s="110">
        <f t="shared" si="1702"/>
        <v>1.7740856413035511</v>
      </c>
      <c r="EW215" s="110">
        <f>IF(SeilBeregnet=0,"-",EW$7*(EY:EY+EW$6)*FB:FB*PropF+ErfaringsF+Dyp_F)</f>
        <v>1.0021089359382853</v>
      </c>
      <c r="EX215" s="144">
        <f t="shared" si="1675"/>
        <v>-1.1267417630775878</v>
      </c>
      <c r="EY215" s="110">
        <f>(EZ:EZ*FA:FA)^EY$3</f>
        <v>3.9641691841194189</v>
      </c>
      <c r="EZ215" s="136">
        <f t="shared" si="1703"/>
        <v>3.6647326848378872</v>
      </c>
      <c r="FA215" s="136">
        <f t="shared" si="1704"/>
        <v>1.0817075964422702</v>
      </c>
      <c r="FB215" s="110">
        <f t="shared" si="1705"/>
        <v>0.99764167053180919</v>
      </c>
      <c r="FC215" s="110">
        <f>IF(SeilBeregnet=0,"-",FC$7*(FE:FE+FC$6)*FI:FI*PropF+ErfaringsF+Dyp_F)</f>
        <v>0.98392932798093924</v>
      </c>
      <c r="FD215" s="144">
        <f t="shared" si="1676"/>
        <v>-2.9447025588121956</v>
      </c>
      <c r="FE215" s="110">
        <f>(FF:FF+FG:FG+FH:FH)^FE$3+FE$7</f>
        <v>5.9447279631283312</v>
      </c>
      <c r="FF215" s="136">
        <f t="shared" si="1706"/>
        <v>3.6647326848378872</v>
      </c>
      <c r="FG215" s="136">
        <f t="shared" si="1707"/>
        <v>0.82940702841607739</v>
      </c>
      <c r="FH215" s="136">
        <f t="shared" si="1708"/>
        <v>1.9505882498743667</v>
      </c>
      <c r="FI215" s="110">
        <f t="shared" si="1709"/>
        <v>1.7505172633278749</v>
      </c>
      <c r="FJ215" s="110">
        <f>IF(SeilBeregnet=0,"-",FJ$7*(FL:FL+FJ$6)*FO:FO*PropF+ErfaringsF+Dyp_F)</f>
        <v>0.99948428508334553</v>
      </c>
      <c r="FK215" s="144">
        <f t="shared" si="1677"/>
        <v>-1.389206848571567</v>
      </c>
      <c r="FL215" s="110">
        <f>(FM:FM*FN:FN)^FL$3</f>
        <v>7.1483845139753237</v>
      </c>
      <c r="FM215" s="136">
        <f t="shared" si="1710"/>
        <v>3.6647326848378872</v>
      </c>
      <c r="FN215" s="136">
        <f t="shared" si="1711"/>
        <v>1.9505882498743667</v>
      </c>
      <c r="FO215" s="110">
        <f t="shared" si="1712"/>
        <v>1.7505172633278749</v>
      </c>
      <c r="FQ215" s="374">
        <v>1</v>
      </c>
      <c r="FR215" s="64">
        <f t="shared" si="1678"/>
        <v>1.2533917016644174</v>
      </c>
      <c r="FS215" s="479"/>
      <c r="FT215" s="18"/>
      <c r="FU215" s="481"/>
      <c r="FV215" s="504"/>
      <c r="FW215" s="18"/>
      <c r="FX215" s="18"/>
      <c r="FY215" s="18"/>
      <c r="FZ215" s="18"/>
      <c r="GB215" s="18"/>
      <c r="GC215" s="481"/>
      <c r="GD215" s="8"/>
      <c r="GE215" s="8"/>
      <c r="GF215" s="8"/>
      <c r="GG215" s="8"/>
      <c r="GI215" s="18"/>
      <c r="GJ215" s="18"/>
      <c r="GK215" s="18"/>
      <c r="GL215" s="18"/>
      <c r="GM215" s="18"/>
      <c r="GN215" s="18"/>
      <c r="GO215" s="18"/>
      <c r="GP215" s="18"/>
    </row>
    <row r="216" spans="1:198" ht="15.6" x14ac:dyDescent="0.3">
      <c r="A216" s="62" t="s">
        <v>118</v>
      </c>
      <c r="B216" s="223"/>
      <c r="C216" s="63" t="str">
        <f>C214</f>
        <v>Bermuda</v>
      </c>
      <c r="D216" s="63"/>
      <c r="E216" s="63"/>
      <c r="F216" s="63"/>
      <c r="G216" s="56"/>
      <c r="H216" s="209">
        <f t="shared" si="1736"/>
        <v>97</v>
      </c>
      <c r="I216" s="65">
        <f t="shared" si="1737"/>
        <v>3</v>
      </c>
      <c r="J216" s="228">
        <f t="shared" si="1738"/>
        <v>58</v>
      </c>
      <c r="K216" s="119">
        <f t="shared" si="1739"/>
        <v>1.1731578260064615</v>
      </c>
      <c r="L216" s="119">
        <f t="shared" si="1740"/>
        <v>0.99809937312705765</v>
      </c>
      <c r="M216" s="95">
        <f t="shared" si="1741"/>
        <v>0.96853448275862075</v>
      </c>
      <c r="N216" s="265">
        <f t="shared" si="1742"/>
        <v>1.0078985048752331</v>
      </c>
      <c r="O216" s="147"/>
      <c r="P216" s="147"/>
      <c r="Q216" s="169">
        <v>28.5</v>
      </c>
      <c r="R216" s="147"/>
      <c r="S216" s="147"/>
      <c r="T216" s="147"/>
      <c r="U216" s="148"/>
      <c r="V216" s="148"/>
      <c r="W216" s="148"/>
      <c r="X216" s="148"/>
      <c r="Y216" s="147"/>
      <c r="Z216" s="147"/>
      <c r="AA216" s="147"/>
      <c r="AB216" s="169">
        <v>22.2</v>
      </c>
      <c r="AC216" s="147"/>
      <c r="AD216" s="169">
        <v>7.3</v>
      </c>
      <c r="AE216" s="260">
        <f t="shared" si="1767"/>
        <v>10</v>
      </c>
      <c r="AF216" s="375">
        <f t="shared" si="1680"/>
        <v>0</v>
      </c>
      <c r="AG216" s="377"/>
      <c r="AH216" s="375">
        <f t="shared" si="1680"/>
        <v>0</v>
      </c>
      <c r="AI216" s="377"/>
      <c r="AJ216" s="295" t="str">
        <f t="shared" ref="AJ216" si="1773" xml:space="preserve"> AJ215</f>
        <v>Lystb</v>
      </c>
      <c r="AK216" s="47">
        <f>VLOOKUP(AJ216,Skrogform!$1:$1048576,3,FALSE)</f>
        <v>0.98</v>
      </c>
      <c r="AL216" s="66">
        <f t="shared" ref="AL216:AT216" si="1774">AL215</f>
        <v>11.11</v>
      </c>
      <c r="AM216" s="66">
        <f t="shared" si="1774"/>
        <v>9.39</v>
      </c>
      <c r="AN216" s="66">
        <f t="shared" si="1774"/>
        <v>2.92</v>
      </c>
      <c r="AO216" s="66">
        <f t="shared" si="1774"/>
        <v>1.85</v>
      </c>
      <c r="AP216" s="66">
        <f t="shared" si="1774"/>
        <v>9.6</v>
      </c>
      <c r="AQ216" s="66">
        <f t="shared" si="1774"/>
        <v>3.4</v>
      </c>
      <c r="AR216" s="66">
        <f t="shared" si="1774"/>
        <v>0</v>
      </c>
      <c r="AS216" s="284">
        <f t="shared" si="1774"/>
        <v>16</v>
      </c>
      <c r="AT216" s="284">
        <f t="shared" si="1774"/>
        <v>390</v>
      </c>
      <c r="AU216" s="284">
        <f t="shared" ref="AU216:AV216" si="1775">AU215</f>
        <v>100</v>
      </c>
      <c r="AV216" s="284">
        <f t="shared" si="1775"/>
        <v>100</v>
      </c>
      <c r="AW216" s="284"/>
      <c r="AX216" s="284">
        <f t="shared" si="1747"/>
        <v>0</v>
      </c>
      <c r="AY216" s="68"/>
      <c r="AZ216" s="68"/>
      <c r="BA216" s="289"/>
      <c r="BB216" s="68"/>
      <c r="BC216" s="179"/>
      <c r="BD216" s="68"/>
      <c r="BE216" s="68"/>
      <c r="BF216" s="67" t="str">
        <f t="shared" ref="BF216:BH216" si="1776" xml:space="preserve"> BF215</f>
        <v>Fast</v>
      </c>
      <c r="BG216" s="295">
        <f t="shared" si="1776"/>
        <v>2</v>
      </c>
      <c r="BH216" s="295">
        <f t="shared" si="1776"/>
        <v>50</v>
      </c>
      <c r="BI216" s="47">
        <f t="shared" si="1662"/>
        <v>0.98490487939259352</v>
      </c>
      <c r="BJ216" s="61"/>
      <c r="BK216" s="61"/>
      <c r="BM216" s="51">
        <f t="shared" si="1749"/>
        <v>0</v>
      </c>
      <c r="BN216" s="51">
        <f t="shared" si="1749"/>
        <v>0</v>
      </c>
      <c r="BO216" s="51">
        <f t="shared" si="1749"/>
        <v>28.5</v>
      </c>
      <c r="BP216" s="51">
        <f t="shared" si="1749"/>
        <v>0</v>
      </c>
      <c r="BQ216" s="51">
        <f t="shared" si="1749"/>
        <v>0</v>
      </c>
      <c r="BR216" s="51">
        <f t="shared" si="1749"/>
        <v>0</v>
      </c>
      <c r="BS216" s="52">
        <f t="shared" si="1750"/>
        <v>0</v>
      </c>
      <c r="BT216" s="88">
        <f t="shared" si="1751"/>
        <v>0</v>
      </c>
      <c r="BU216" s="88">
        <f t="shared" si="1751"/>
        <v>0</v>
      </c>
      <c r="BV216" s="88">
        <f t="shared" si="1751"/>
        <v>0</v>
      </c>
      <c r="BW216" s="88">
        <f t="shared" si="1751"/>
        <v>0</v>
      </c>
      <c r="BX216" s="88">
        <f t="shared" si="1751"/>
        <v>0</v>
      </c>
      <c r="BY216" s="88">
        <f t="shared" si="1751"/>
        <v>0</v>
      </c>
      <c r="BZ216" s="88">
        <f t="shared" si="1751"/>
        <v>0</v>
      </c>
      <c r="CA216" s="88">
        <f t="shared" si="1751"/>
        <v>22.2</v>
      </c>
      <c r="CB216" s="88">
        <f t="shared" si="1751"/>
        <v>0</v>
      </c>
      <c r="CC216" s="88">
        <f t="shared" si="1751"/>
        <v>5.4749999999999996</v>
      </c>
      <c r="CD216" s="103">
        <f t="shared" si="1752"/>
        <v>56.175000000000004</v>
      </c>
      <c r="CE216" s="52"/>
      <c r="CF216" s="109">
        <f t="shared" si="1753"/>
        <v>58</v>
      </c>
      <c r="CG216" s="104">
        <f t="shared" ref="CG216" si="1777">CD216/CF216</f>
        <v>0.96853448275862075</v>
      </c>
      <c r="CH216" s="53">
        <f t="shared" si="1755"/>
        <v>0.65780445288248768</v>
      </c>
      <c r="CI216" s="119">
        <f t="shared" si="1756"/>
        <v>1.1731578260064615</v>
      </c>
      <c r="CJ216" s="53">
        <f t="shared" si="1757"/>
        <v>0.99809937312705765</v>
      </c>
      <c r="CK216" s="209"/>
      <c r="CL216" s="209">
        <f t="shared" si="1758"/>
        <v>97</v>
      </c>
      <c r="CM216" s="110">
        <f t="shared" si="1772"/>
        <v>0.96841903941191254</v>
      </c>
      <c r="CN216" s="64">
        <f>IF(SeilBeregnet=0,"-",(SeilBeregnet)^(1/2)*StHfaktor/(Depl+DeplTillegg/1000+Vann/1000+Diesel/1000*0.84)^(1/3))</f>
        <v>3.5082199782181509</v>
      </c>
      <c r="CO216" s="64">
        <f t="shared" si="1759"/>
        <v>1.8735725159712233</v>
      </c>
      <c r="CP216" s="64">
        <f t="shared" si="1760"/>
        <v>1.7505172633278749</v>
      </c>
      <c r="CQ216" s="110">
        <f t="shared" si="1761"/>
        <v>1.0078985048752331</v>
      </c>
      <c r="CR216" s="172" t="str">
        <f t="shared" si="1563"/>
        <v>-</v>
      </c>
      <c r="CS216" s="162"/>
      <c r="CT216" s="172" t="str">
        <f t="shared" si="1660"/>
        <v>-</v>
      </c>
      <c r="CU216" s="164"/>
      <c r="CV216" s="195" t="s">
        <v>145</v>
      </c>
      <c r="CW216" s="64">
        <v>0.92</v>
      </c>
      <c r="CX216" s="64">
        <v>0.9</v>
      </c>
      <c r="CY216" s="64">
        <v>0.96</v>
      </c>
      <c r="CZ216" s="154">
        <v>0.96</v>
      </c>
      <c r="DA216" s="64">
        <f t="shared" si="1663"/>
        <v>2.104742167486616</v>
      </c>
      <c r="DB216" s="49">
        <f t="shared" si="1664"/>
        <v>13.899323816679187</v>
      </c>
      <c r="DC216" s="50">
        <f t="shared" si="1665"/>
        <v>0</v>
      </c>
      <c r="DE216" s="110">
        <f>IF(SeilBeregnet=0,"-",DE$7*(DG:DG+DE$6)*DL:DL*PropF+ErfaringsF+Dyp_F)</f>
        <v>0.953795782369111</v>
      </c>
      <c r="DF216" s="144" t="str">
        <f t="shared" si="1666"/>
        <v>-</v>
      </c>
      <c r="DG216" s="110">
        <f t="shared" si="1667"/>
        <v>5.4773858660533783</v>
      </c>
      <c r="DH216" s="136">
        <f>IF(SeilBeregnet=0,DH214,(SeilBeregnet^0.5/(Depl^0.3333))^DH$3*DH$7)</f>
        <v>3.526797616179012</v>
      </c>
      <c r="DI216" s="136">
        <f>IF(SeilBeregnet=0,DI214,(SeilBeregnet^0.5/Lwl)^DI$3*DI$7)</f>
        <v>0</v>
      </c>
      <c r="DJ216" s="136">
        <f>IF(SeilBeregnet=0,DJ214,(0.1*Loa/Depl^0.3333)^DJ$3*DJ$7)</f>
        <v>0</v>
      </c>
      <c r="DK216" s="136">
        <f>IF(SeilBeregnet=0,DK214,((Loa)/Bredde)^DK$3*DK$7)</f>
        <v>1.9505882498743667</v>
      </c>
      <c r="DL216" s="110">
        <f>IF(SeilBeregnet=0,DL214,(Lwl)^DL$3)</f>
        <v>1.7505172633278749</v>
      </c>
      <c r="DM216" s="136">
        <f>IF(SeilBeregnet=0,DM214,(Dypg/Loa)^DM$3*5*DM$7)</f>
        <v>2.040322594990597</v>
      </c>
      <c r="DO216" s="110">
        <f t="shared" si="344"/>
        <v>0.98818269327746178</v>
      </c>
      <c r="DP216" s="110">
        <f t="shared" si="1668"/>
        <v>0.94645387812674719</v>
      </c>
      <c r="DR216" s="110">
        <f t="shared" si="1669"/>
        <v>0.95972232376295397</v>
      </c>
      <c r="DS216" s="125" t="str">
        <f t="shared" si="1670"/>
        <v>-</v>
      </c>
      <c r="DT216" s="110">
        <f t="shared" si="1671"/>
        <v>0.97302110554990895</v>
      </c>
      <c r="DU216" s="125" t="str">
        <f t="shared" si="1672"/>
        <v>-</v>
      </c>
      <c r="DV216" s="110">
        <f t="shared" si="1687"/>
        <v>3.5265583208764215</v>
      </c>
      <c r="DW216" s="110">
        <f t="shared" si="1688"/>
        <v>2.109548147034956</v>
      </c>
      <c r="DX216" s="110">
        <f t="shared" si="1689"/>
        <v>1.6277689216151001</v>
      </c>
      <c r="DZ216" s="110">
        <f t="shared" si="1673"/>
        <v>0.97525930436264985</v>
      </c>
      <c r="EB216" s="110">
        <f t="shared" si="1690"/>
        <v>3.5265583208764215</v>
      </c>
      <c r="EC216" s="110">
        <f t="shared" si="1691"/>
        <v>2.1096898909840953</v>
      </c>
      <c r="ED216" s="110">
        <f t="shared" si="1692"/>
        <v>1.9146767228439099</v>
      </c>
      <c r="EE216" s="110">
        <f t="shared" si="1674"/>
        <v>0.96076804191369169</v>
      </c>
      <c r="EG216" s="110">
        <f t="shared" si="1693"/>
        <v>5.7404220349857713</v>
      </c>
      <c r="EH216" s="110">
        <f t="shared" si="1694"/>
        <v>3.5265583208764215</v>
      </c>
      <c r="EI216" s="110">
        <f t="shared" si="1695"/>
        <v>1.6277689216151001</v>
      </c>
      <c r="EJ216" s="110">
        <f t="shared" si="1696"/>
        <v>1.7505172633278749</v>
      </c>
      <c r="EK216" s="110">
        <f>IF(SeilBeregnet=0,"-",EK$7*(EK$4*EM:EM+EK$6)*EP:EP*PropF+ErfaringsF+Dyp_F)</f>
        <v>0.96005921742300615</v>
      </c>
      <c r="EM216" s="110">
        <f>IF(SeilBeregnet=0,EM215,(EN:EN*EO:EO)^EM$3)</f>
        <v>1.9151509273990688</v>
      </c>
      <c r="EN216" s="110">
        <f t="shared" si="1697"/>
        <v>3.5265583208764215</v>
      </c>
      <c r="EO216" s="110">
        <f t="shared" si="1698"/>
        <v>1.0400517277723595</v>
      </c>
      <c r="EP216" s="110">
        <f t="shared" si="1699"/>
        <v>1.7740856413035511</v>
      </c>
      <c r="EQ216" s="110">
        <f>IF(SeilBeregnet=0,"-",EQ$7*(ES:ES+EQ$6)*EV:EV*PropF+ErfaringsF+Dyp_F)</f>
        <v>0.9157239476444935</v>
      </c>
      <c r="ES216" s="110">
        <f>(ET:ET*EU:EU)^ES$3</f>
        <v>1.9152159027666882</v>
      </c>
      <c r="ET216" s="110">
        <f t="shared" si="1700"/>
        <v>3.526797616179012</v>
      </c>
      <c r="EU216" s="110">
        <f t="shared" si="1701"/>
        <v>1.0400517277723595</v>
      </c>
      <c r="EV216" s="110">
        <f t="shared" si="1702"/>
        <v>1.7740856413035511</v>
      </c>
      <c r="EW216" s="110">
        <f>IF(SeilBeregnet=0,"-",EW$7*(EY:EY+EW$6)*FB:FB*PropF+ErfaringsF+Dyp_F)</f>
        <v>0.97703921178678255</v>
      </c>
      <c r="EX216" s="144" t="str">
        <f t="shared" ref="EX216" si="1778">IF($DQ216=0,"-",(EW216-$DO216)*100)</f>
        <v>-</v>
      </c>
      <c r="EY216" s="110">
        <f>(EZ:EZ*FA:FA)^EY$3</f>
        <v>3.8149637725353274</v>
      </c>
      <c r="EZ216" s="136">
        <f t="shared" si="1703"/>
        <v>3.526797616179012</v>
      </c>
      <c r="FA216" s="136">
        <f t="shared" si="1704"/>
        <v>1.0817075964422702</v>
      </c>
      <c r="FB216" s="110">
        <f t="shared" si="1705"/>
        <v>0.99764167053180919</v>
      </c>
      <c r="FC216" s="110">
        <f>IF(SeilBeregnet=0,"-",FC$7*(FE:FE+FC$6)*FI:FI*PropF+ErfaringsF+Dyp_F)</f>
        <v>0.955932367546519</v>
      </c>
      <c r="FD216" s="144" t="str">
        <f t="shared" ref="FD216" si="1779">IF($DQ216=0,"-",(FC216-$DO216)*100)</f>
        <v>-</v>
      </c>
      <c r="FE216" s="110">
        <f>(FF:FF+FG:FG+FH:FH)^FE$3+FE$7</f>
        <v>5.7755752518064458</v>
      </c>
      <c r="FF216" s="136">
        <f t="shared" si="1706"/>
        <v>3.526797616179012</v>
      </c>
      <c r="FG216" s="136">
        <f t="shared" si="1707"/>
        <v>0.79818938575306653</v>
      </c>
      <c r="FH216" s="136">
        <f t="shared" si="1708"/>
        <v>1.9505882498743667</v>
      </c>
      <c r="FI216" s="110">
        <f t="shared" si="1709"/>
        <v>1.7505172633278749</v>
      </c>
      <c r="FJ216" s="110">
        <f>IF(SeilBeregnet=0,"-",FJ$7*(FL:FL+FJ$6)*FO:FO*PropF+ErfaringsF+Dyp_F)</f>
        <v>0.97536278403509946</v>
      </c>
      <c r="FK216" s="144" t="str">
        <f t="shared" ref="FK216" si="1780">IF($DQ216=0,"-",(FJ216-$DO216)*100)</f>
        <v>-</v>
      </c>
      <c r="FL216" s="110">
        <f>(FM:FM*FN:FN)^FL$3</f>
        <v>6.8793299898037077</v>
      </c>
      <c r="FM216" s="136">
        <f t="shared" si="1710"/>
        <v>3.526797616179012</v>
      </c>
      <c r="FN216" s="136">
        <f t="shared" si="1711"/>
        <v>1.9505882498743667</v>
      </c>
      <c r="FO216" s="110">
        <f t="shared" si="1712"/>
        <v>1.7505172633278749</v>
      </c>
      <c r="FQ216" s="374">
        <v>1</v>
      </c>
      <c r="FR216" s="64">
        <f t="shared" si="1678"/>
        <v>1.230809684235074</v>
      </c>
      <c r="FS216" s="479"/>
      <c r="FT216" s="18"/>
      <c r="FU216" s="481"/>
      <c r="FV216" s="504"/>
      <c r="FW216" s="18"/>
      <c r="FX216" s="18"/>
      <c r="FY216" s="18"/>
      <c r="FZ216" s="18"/>
      <c r="GB216" s="18"/>
      <c r="GC216" s="481"/>
      <c r="GD216" s="8"/>
      <c r="GE216" s="8"/>
      <c r="GF216" s="8"/>
      <c r="GG216" s="8"/>
      <c r="GI216" s="18"/>
      <c r="GJ216" s="18"/>
      <c r="GK216" s="18"/>
      <c r="GL216" s="18"/>
      <c r="GM216" s="18"/>
      <c r="GN216" s="18"/>
      <c r="GO216" s="18"/>
      <c r="GP216" s="18"/>
    </row>
    <row r="217" spans="1:198" ht="15.6" x14ac:dyDescent="0.3">
      <c r="A217" s="62" t="s">
        <v>148</v>
      </c>
      <c r="B217" s="223"/>
      <c r="C217" s="63" t="str">
        <f>C215</f>
        <v>Bermuda</v>
      </c>
      <c r="D217" s="63"/>
      <c r="E217" s="63"/>
      <c r="F217" s="63"/>
      <c r="G217" s="56"/>
      <c r="H217" s="209">
        <f t="shared" si="1736"/>
        <v>93.5</v>
      </c>
      <c r="I217" s="65">
        <f t="shared" si="1737"/>
        <v>2</v>
      </c>
      <c r="J217" s="228">
        <f t="shared" si="1738"/>
        <v>50.7</v>
      </c>
      <c r="K217" s="119">
        <f t="shared" si="1739"/>
        <v>1.0255017548022001</v>
      </c>
      <c r="L217" s="119">
        <f t="shared" si="1740"/>
        <v>0.87247652099210038</v>
      </c>
      <c r="M217" s="95">
        <f t="shared" si="1741"/>
        <v>1</v>
      </c>
      <c r="N217" s="265">
        <f t="shared" si="1742"/>
        <v>1.0078985048752331</v>
      </c>
      <c r="O217" s="147"/>
      <c r="P217" s="147"/>
      <c r="Q217" s="169">
        <v>28.5</v>
      </c>
      <c r="R217" s="147"/>
      <c r="S217" s="147"/>
      <c r="T217" s="147"/>
      <c r="U217" s="148"/>
      <c r="V217" s="148"/>
      <c r="W217" s="148"/>
      <c r="X217" s="148"/>
      <c r="Y217" s="147"/>
      <c r="Z217" s="147"/>
      <c r="AA217" s="147"/>
      <c r="AB217" s="169">
        <v>22.2</v>
      </c>
      <c r="AC217" s="147"/>
      <c r="AD217" s="147"/>
      <c r="AE217" s="260">
        <f t="shared" si="1767"/>
        <v>10</v>
      </c>
      <c r="AF217" s="375">
        <f t="shared" si="1680"/>
        <v>0</v>
      </c>
      <c r="AG217" s="377"/>
      <c r="AH217" s="375">
        <f t="shared" si="1680"/>
        <v>0</v>
      </c>
      <c r="AI217" s="377"/>
      <c r="AJ217" s="295" t="str">
        <f t="shared" ref="AJ217" si="1781" xml:space="preserve"> AJ216</f>
        <v>Lystb</v>
      </c>
      <c r="AK217" s="47">
        <f>VLOOKUP(AJ217,Skrogform!$1:$1048576,3,FALSE)</f>
        <v>0.98</v>
      </c>
      <c r="AL217" s="66">
        <f t="shared" ref="AL217:AT217" si="1782">AL216</f>
        <v>11.11</v>
      </c>
      <c r="AM217" s="66">
        <f t="shared" si="1782"/>
        <v>9.39</v>
      </c>
      <c r="AN217" s="66">
        <f t="shared" si="1782"/>
        <v>2.92</v>
      </c>
      <c r="AO217" s="66">
        <f t="shared" si="1782"/>
        <v>1.85</v>
      </c>
      <c r="AP217" s="66">
        <f t="shared" si="1782"/>
        <v>9.6</v>
      </c>
      <c r="AQ217" s="66">
        <f t="shared" si="1782"/>
        <v>3.4</v>
      </c>
      <c r="AR217" s="66">
        <f t="shared" si="1782"/>
        <v>0</v>
      </c>
      <c r="AS217" s="284">
        <f t="shared" si="1782"/>
        <v>16</v>
      </c>
      <c r="AT217" s="284">
        <f t="shared" si="1782"/>
        <v>390</v>
      </c>
      <c r="AU217" s="284">
        <f t="shared" ref="AU217:AV217" si="1783">AU216</f>
        <v>100</v>
      </c>
      <c r="AV217" s="284">
        <f t="shared" si="1783"/>
        <v>100</v>
      </c>
      <c r="AW217" s="284"/>
      <c r="AX217" s="284">
        <f t="shared" si="1747"/>
        <v>0</v>
      </c>
      <c r="AY217" s="68"/>
      <c r="AZ217" s="68"/>
      <c r="BA217" s="289"/>
      <c r="BB217" s="68"/>
      <c r="BC217" s="179"/>
      <c r="BD217" s="68"/>
      <c r="BE217" s="68"/>
      <c r="BF217" s="67" t="str">
        <f t="shared" ref="BF217:BH217" si="1784" xml:space="preserve"> BF216</f>
        <v>Fast</v>
      </c>
      <c r="BG217" s="295">
        <f t="shared" si="1784"/>
        <v>2</v>
      </c>
      <c r="BH217" s="295">
        <f t="shared" si="1784"/>
        <v>50</v>
      </c>
      <c r="BI217" s="47">
        <f t="shared" si="1662"/>
        <v>0.98490487939259352</v>
      </c>
      <c r="BJ217" s="61"/>
      <c r="BK217" s="61"/>
      <c r="BM217" s="51">
        <f t="shared" si="1749"/>
        <v>0</v>
      </c>
      <c r="BN217" s="51">
        <f t="shared" si="1749"/>
        <v>0</v>
      </c>
      <c r="BO217" s="51">
        <f t="shared" si="1749"/>
        <v>28.5</v>
      </c>
      <c r="BP217" s="51">
        <f t="shared" si="1749"/>
        <v>0</v>
      </c>
      <c r="BQ217" s="51">
        <f t="shared" si="1749"/>
        <v>0</v>
      </c>
      <c r="BR217" s="51">
        <f t="shared" si="1749"/>
        <v>0</v>
      </c>
      <c r="BS217" s="52">
        <f t="shared" si="1750"/>
        <v>0</v>
      </c>
      <c r="BT217" s="88">
        <f t="shared" si="1751"/>
        <v>0</v>
      </c>
      <c r="BU217" s="88">
        <f t="shared" si="1751"/>
        <v>0</v>
      </c>
      <c r="BV217" s="88">
        <f t="shared" si="1751"/>
        <v>0</v>
      </c>
      <c r="BW217" s="88">
        <f t="shared" si="1751"/>
        <v>0</v>
      </c>
      <c r="BX217" s="88">
        <f t="shared" si="1751"/>
        <v>0</v>
      </c>
      <c r="BY217" s="88">
        <f t="shared" si="1751"/>
        <v>0</v>
      </c>
      <c r="BZ217" s="88">
        <f t="shared" si="1751"/>
        <v>0</v>
      </c>
      <c r="CA217" s="88">
        <f t="shared" si="1751"/>
        <v>22.2</v>
      </c>
      <c r="CB217" s="88">
        <f t="shared" si="1751"/>
        <v>0</v>
      </c>
      <c r="CC217" s="88">
        <f t="shared" si="1751"/>
        <v>0</v>
      </c>
      <c r="CD217" s="103">
        <f t="shared" si="1752"/>
        <v>50.7</v>
      </c>
      <c r="CE217" s="52"/>
      <c r="CF217" s="109">
        <f t="shared" si="1753"/>
        <v>50.7</v>
      </c>
      <c r="CG217" s="104">
        <f t="shared" si="1754"/>
        <v>1</v>
      </c>
      <c r="CH217" s="53">
        <f t="shared" si="1755"/>
        <v>0.57501182346796764</v>
      </c>
      <c r="CI217" s="119">
        <f t="shared" si="1756"/>
        <v>1.0255017548022001</v>
      </c>
      <c r="CJ217" s="53">
        <f t="shared" si="1757"/>
        <v>0.87247652099210038</v>
      </c>
      <c r="CK217" s="209"/>
      <c r="CL217" s="209">
        <f t="shared" si="1758"/>
        <v>93.5</v>
      </c>
      <c r="CM217" s="110">
        <f t="shared" si="1772"/>
        <v>0.93686715404999643</v>
      </c>
      <c r="CN217" s="64">
        <f>IF(SeilBeregnet=0,"-",(SeilBeregnet)^(1/2)*StHfaktor/(Depl+DeplTillegg/1000+Vann/1000+Diesel/1000*0.84)^(1/3))</f>
        <v>3.3328767714990839</v>
      </c>
      <c r="CO217" s="64">
        <f t="shared" si="1759"/>
        <v>1.8735725159712233</v>
      </c>
      <c r="CP217" s="64">
        <f t="shared" si="1760"/>
        <v>1.7505172633278749</v>
      </c>
      <c r="CQ217" s="110">
        <f t="shared" si="1761"/>
        <v>1.0078985048752331</v>
      </c>
      <c r="CR217" s="172" t="str">
        <f t="shared" si="1563"/>
        <v>-</v>
      </c>
      <c r="CS217" s="162"/>
      <c r="CT217" s="172" t="str">
        <f t="shared" si="1660"/>
        <v>-</v>
      </c>
      <c r="CU217" s="164"/>
      <c r="CV217" s="195" t="s">
        <v>145</v>
      </c>
      <c r="CW217" s="64">
        <v>0.92</v>
      </c>
      <c r="CX217" s="64">
        <v>0.9</v>
      </c>
      <c r="CY217" s="64">
        <v>0.96</v>
      </c>
      <c r="CZ217" s="154">
        <v>0.96</v>
      </c>
      <c r="DA217" s="64">
        <f t="shared" si="1663"/>
        <v>2.104742167486616</v>
      </c>
      <c r="DB217" s="49">
        <f t="shared" si="1664"/>
        <v>13.899323816679187</v>
      </c>
      <c r="DC217" s="50">
        <f t="shared" si="1665"/>
        <v>0</v>
      </c>
      <c r="DE217" s="110">
        <f>IF(SeilBeregnet=0,"-",DE$7*(DG:DG+DE$6)*DL:DL*PropF+ErfaringsF+Dyp_F)</f>
        <v>0.92310098810412411</v>
      </c>
      <c r="DF217" s="144" t="str">
        <f t="shared" ref="DF217" si="1785">IF($DQ217=0,"-",(DE217-$DO217)*100)</f>
        <v>-</v>
      </c>
      <c r="DG217" s="110">
        <f t="shared" si="1667"/>
        <v>5.3011141364270973</v>
      </c>
      <c r="DH217" s="136">
        <f>IF(SeilBeregnet=0,DH215,(SeilBeregnet^0.5/(Depl^0.3333))^DH$3*DH$7)</f>
        <v>3.3505258865527305</v>
      </c>
      <c r="DI217" s="136">
        <f>IF(SeilBeregnet=0,DI215,(SeilBeregnet^0.5/Lwl)^DI$3*DI$7)</f>
        <v>0</v>
      </c>
      <c r="DJ217" s="136">
        <f>IF(SeilBeregnet=0,DJ215,(0.1*Loa/Depl^0.3333)^DJ$3*DJ$7)</f>
        <v>0</v>
      </c>
      <c r="DK217" s="136">
        <f>IF(SeilBeregnet=0,DK215,((Loa)/Bredde)^DK$3*DK$7)</f>
        <v>1.9505882498743667</v>
      </c>
      <c r="DL217" s="110">
        <f>IF(SeilBeregnet=0,DL215,(Lwl)^DL$3)</f>
        <v>1.7505172633278749</v>
      </c>
      <c r="DM217" s="136">
        <f>IF(SeilBeregnet=0,DM215,(Dypg/Loa)^DM$3*5*DM$7)</f>
        <v>2.040322594990597</v>
      </c>
      <c r="DO217" s="110">
        <f t="shared" si="344"/>
        <v>0.95598689188775143</v>
      </c>
      <c r="DP217" s="110">
        <f t="shared" si="1668"/>
        <v>0.90901124420909352</v>
      </c>
      <c r="DR217" s="110">
        <f t="shared" si="1669"/>
        <v>0.92854461919551479</v>
      </c>
      <c r="DS217" s="125" t="str">
        <f t="shared" ref="DS217" si="1786">IF($DQ217=0,"-",DR217-$DO217)</f>
        <v>-</v>
      </c>
      <c r="DT217" s="110">
        <f t="shared" si="1671"/>
        <v>0.93566451740899526</v>
      </c>
      <c r="DU217" s="125" t="str">
        <f t="shared" ref="DU217" si="1787">IF($DQ217=0,"-",DT217-$DO217)</f>
        <v>-</v>
      </c>
      <c r="DV217" s="110">
        <f t="shared" si="1687"/>
        <v>3.3502985513911714</v>
      </c>
      <c r="DW217" s="110">
        <f t="shared" si="1688"/>
        <v>2.109548147034956</v>
      </c>
      <c r="DX217" s="110">
        <f t="shared" si="1689"/>
        <v>1.6277689216151001</v>
      </c>
      <c r="DZ217" s="110">
        <f t="shared" si="1673"/>
        <v>0.94111647708883273</v>
      </c>
      <c r="EB217" s="110">
        <f t="shared" si="1690"/>
        <v>3.3502985513911714</v>
      </c>
      <c r="EC217" s="110">
        <f t="shared" si="1691"/>
        <v>2.1096898909840953</v>
      </c>
      <c r="ED217" s="110">
        <f t="shared" si="1692"/>
        <v>1.9146767228439099</v>
      </c>
      <c r="EE217" s="110">
        <f t="shared" si="1674"/>
        <v>0.92515575543925532</v>
      </c>
      <c r="EG217" s="110">
        <f t="shared" si="1693"/>
        <v>5.453511860086639</v>
      </c>
      <c r="EH217" s="110">
        <f t="shared" si="1694"/>
        <v>3.3502985513911714</v>
      </c>
      <c r="EI217" s="110">
        <f t="shared" si="1695"/>
        <v>1.6277689216151001</v>
      </c>
      <c r="EJ217" s="110">
        <f t="shared" si="1696"/>
        <v>1.7505172633278749</v>
      </c>
      <c r="EK217" s="110">
        <f>IF(SeilBeregnet=0,"-",EK$7*(EK$4*EM:EM+EK$6)*EP:EP*PropF+ErfaringsF+Dyp_F)</f>
        <v>0.92717393239123447</v>
      </c>
      <c r="EM217" s="110">
        <f>IF(SeilBeregnet=0,EM216,(EN:EN*EO:EO)^EM$3)</f>
        <v>1.8666772074806135</v>
      </c>
      <c r="EN217" s="110">
        <f t="shared" si="1697"/>
        <v>3.3502985513911714</v>
      </c>
      <c r="EO217" s="110">
        <f t="shared" si="1698"/>
        <v>1.0400517277723595</v>
      </c>
      <c r="EP217" s="110">
        <f t="shared" si="1699"/>
        <v>1.7740856413035511</v>
      </c>
      <c r="EQ217" s="110">
        <f>IF(SeilBeregnet=0,"-",EQ$7*(ES:ES+EQ$6)*EV:EV*PropF+ErfaringsF+Dyp_F)</f>
        <v>0.89254637687150762</v>
      </c>
      <c r="ES217" s="110">
        <f>(ET:ET*EU:EU)^ES$3</f>
        <v>1.8667405382792714</v>
      </c>
      <c r="ET217" s="110">
        <f t="shared" si="1700"/>
        <v>3.3505258865527305</v>
      </c>
      <c r="EU217" s="110">
        <f t="shared" si="1701"/>
        <v>1.0400517277723595</v>
      </c>
      <c r="EV217" s="110">
        <f t="shared" si="1702"/>
        <v>1.7740856413035511</v>
      </c>
      <c r="EW217" s="110">
        <f>IF(SeilBeregnet=0,"-",EW$7*(EY:EY+EW$6)*FB:FB*PropF+ErfaringsF+Dyp_F)</f>
        <v>0.94500179243864046</v>
      </c>
      <c r="EX217" s="144" t="str">
        <f t="shared" ref="EX217:EX224" si="1788">IF($DQ217=0,"-",(EW217-$DO217)*100)</f>
        <v>-</v>
      </c>
      <c r="EY217" s="110">
        <f>(EZ:EZ*FA:FA)^EY$3</f>
        <v>3.6242893035605608</v>
      </c>
      <c r="EZ217" s="136">
        <f t="shared" si="1703"/>
        <v>3.3505258865527305</v>
      </c>
      <c r="FA217" s="136">
        <f t="shared" si="1704"/>
        <v>1.0817075964422702</v>
      </c>
      <c r="FB217" s="110">
        <f t="shared" si="1705"/>
        <v>0.99764167053180919</v>
      </c>
      <c r="FC217" s="110">
        <f>IF(SeilBeregnet=0,"-",FC$7*(FE:FE+FC$6)*FI:FI*PropF+ErfaringsF+Dyp_F)</f>
        <v>0.9201541373398211</v>
      </c>
      <c r="FD217" s="144" t="str">
        <f t="shared" ref="FD217:FD224" si="1789">IF($DQ217=0,"-",(FC217-$DO217)*100)</f>
        <v>-</v>
      </c>
      <c r="FE217" s="110">
        <f>(FF:FF+FG:FG+FH:FH)^FE$3+FE$7</f>
        <v>5.5594094769560805</v>
      </c>
      <c r="FF217" s="136">
        <f t="shared" si="1706"/>
        <v>3.3505258865527305</v>
      </c>
      <c r="FG217" s="136">
        <f t="shared" si="1707"/>
        <v>0.75829534052898395</v>
      </c>
      <c r="FH217" s="136">
        <f t="shared" si="1708"/>
        <v>1.9505882498743667</v>
      </c>
      <c r="FI217" s="110">
        <f t="shared" si="1709"/>
        <v>1.7505172633278749</v>
      </c>
      <c r="FJ217" s="110">
        <f>IF(SeilBeregnet=0,"-",FJ$7*(FL:FL+FJ$6)*FO:FO*PropF+ErfaringsF+Dyp_F)</f>
        <v>0.94453712996251604</v>
      </c>
      <c r="FK217" s="144" t="str">
        <f t="shared" ref="FK217:FK224" si="1790">IF($DQ217=0,"-",(FJ217-$DO217)*100)</f>
        <v>-</v>
      </c>
      <c r="FL217" s="110">
        <f>(FM:FM*FN:FN)^FL$3</f>
        <v>6.5354964252096517</v>
      </c>
      <c r="FM217" s="136">
        <f t="shared" si="1710"/>
        <v>3.3505258865527305</v>
      </c>
      <c r="FN217" s="136">
        <f t="shared" si="1711"/>
        <v>1.9505882498743667</v>
      </c>
      <c r="FO217" s="110">
        <f t="shared" si="1712"/>
        <v>1.7505172633278749</v>
      </c>
      <c r="FQ217" s="374">
        <v>1</v>
      </c>
      <c r="FR217" s="64">
        <f t="shared" si="1678"/>
        <v>1.201951386563396</v>
      </c>
      <c r="FS217" s="479"/>
      <c r="FT217" s="18"/>
      <c r="FU217" s="481"/>
      <c r="FV217" s="504"/>
      <c r="FW217" s="18"/>
      <c r="FX217" s="18"/>
      <c r="FY217" s="18"/>
      <c r="FZ217" s="18"/>
      <c r="GB217" s="18"/>
      <c r="GC217" s="481"/>
      <c r="GD217" s="8"/>
      <c r="GE217" s="8"/>
      <c r="GF217" s="8"/>
      <c r="GG217" s="8"/>
      <c r="GI217" s="18"/>
      <c r="GJ217" s="18"/>
      <c r="GK217" s="18"/>
      <c r="GL217" s="18"/>
      <c r="GM217" s="18"/>
      <c r="GN217" s="18"/>
      <c r="GO217" s="18"/>
      <c r="GP217" s="18"/>
    </row>
    <row r="218" spans="1:198" ht="15.6" x14ac:dyDescent="0.3">
      <c r="A218" s="62" t="s">
        <v>36</v>
      </c>
      <c r="B218" s="223"/>
      <c r="C218" s="63" t="str">
        <f t="shared" si="1762"/>
        <v>Bermuda</v>
      </c>
      <c r="D218" s="63"/>
      <c r="E218" s="63"/>
      <c r="F218" s="63"/>
      <c r="G218" s="56"/>
      <c r="H218" s="209">
        <f t="shared" si="1736"/>
        <v>79</v>
      </c>
      <c r="I218" s="65">
        <f t="shared" si="1737"/>
        <v>2</v>
      </c>
      <c r="J218" s="228">
        <f t="shared" si="1738"/>
        <v>28.6</v>
      </c>
      <c r="K218" s="119">
        <f t="shared" si="1739"/>
        <v>0.57848816937559999</v>
      </c>
      <c r="L218" s="119">
        <f t="shared" si="1740"/>
        <v>0.49216624261092851</v>
      </c>
      <c r="M218" s="95">
        <f t="shared" si="1741"/>
        <v>1</v>
      </c>
      <c r="N218" s="265">
        <f t="shared" si="1742"/>
        <v>1.0078985048752331</v>
      </c>
      <c r="O218" s="147"/>
      <c r="P218" s="147"/>
      <c r="Q218" s="147"/>
      <c r="R218" s="147"/>
      <c r="S218" s="147"/>
      <c r="T218" s="169">
        <v>6.4</v>
      </c>
      <c r="U218" s="148"/>
      <c r="V218" s="148"/>
      <c r="W218" s="148"/>
      <c r="X218" s="148"/>
      <c r="Y218" s="147"/>
      <c r="Z218" s="147"/>
      <c r="AA218" s="147"/>
      <c r="AB218" s="169">
        <v>22.2</v>
      </c>
      <c r="AC218" s="147"/>
      <c r="AD218" s="148"/>
      <c r="AE218" s="260">
        <f t="shared" si="1767"/>
        <v>10</v>
      </c>
      <c r="AF218" s="375">
        <f t="shared" si="1680"/>
        <v>0</v>
      </c>
      <c r="AG218" s="377"/>
      <c r="AH218" s="375">
        <f t="shared" si="1680"/>
        <v>0</v>
      </c>
      <c r="AI218" s="377"/>
      <c r="AJ218" s="295" t="str">
        <f t="shared" ref="AJ218" si="1791" xml:space="preserve"> AJ217</f>
        <v>Lystb</v>
      </c>
      <c r="AK218" s="47">
        <f>VLOOKUP(AJ218,Skrogform!$1:$1048576,3,FALSE)</f>
        <v>0.98</v>
      </c>
      <c r="AL218" s="66">
        <f t="shared" ref="AL218:AT218" si="1792">AL217</f>
        <v>11.11</v>
      </c>
      <c r="AM218" s="66">
        <f t="shared" si="1792"/>
        <v>9.39</v>
      </c>
      <c r="AN218" s="66">
        <f t="shared" si="1792"/>
        <v>2.92</v>
      </c>
      <c r="AO218" s="66">
        <f t="shared" si="1792"/>
        <v>1.85</v>
      </c>
      <c r="AP218" s="66">
        <f t="shared" si="1792"/>
        <v>9.6</v>
      </c>
      <c r="AQ218" s="66">
        <f t="shared" si="1792"/>
        <v>3.4</v>
      </c>
      <c r="AR218" s="66">
        <f t="shared" si="1792"/>
        <v>0</v>
      </c>
      <c r="AS218" s="284">
        <f t="shared" si="1792"/>
        <v>16</v>
      </c>
      <c r="AT218" s="284">
        <f t="shared" si="1792"/>
        <v>390</v>
      </c>
      <c r="AU218" s="284">
        <f t="shared" ref="AU218:AV218" si="1793">AU217</f>
        <v>100</v>
      </c>
      <c r="AV218" s="284">
        <f t="shared" si="1793"/>
        <v>100</v>
      </c>
      <c r="AW218" s="284"/>
      <c r="AX218" s="284">
        <f t="shared" si="1747"/>
        <v>0</v>
      </c>
      <c r="AY218" s="68"/>
      <c r="AZ218" s="68"/>
      <c r="BA218" s="289"/>
      <c r="BB218" s="68"/>
      <c r="BC218" s="179"/>
      <c r="BD218" s="68"/>
      <c r="BE218" s="68"/>
      <c r="BF218" s="67" t="str">
        <f t="shared" ref="BF218:BH218" si="1794" xml:space="preserve"> BF217</f>
        <v>Fast</v>
      </c>
      <c r="BG218" s="295">
        <f t="shared" si="1794"/>
        <v>2</v>
      </c>
      <c r="BH218" s="295">
        <f t="shared" si="1794"/>
        <v>50</v>
      </c>
      <c r="BI218" s="47">
        <f t="shared" si="1662"/>
        <v>0.98490487939259352</v>
      </c>
      <c r="BJ218" s="61"/>
      <c r="BK218" s="61"/>
      <c r="BM218" s="51">
        <f t="shared" si="1749"/>
        <v>0</v>
      </c>
      <c r="BN218" s="51">
        <f t="shared" si="1749"/>
        <v>0</v>
      </c>
      <c r="BO218" s="51">
        <f t="shared" si="1749"/>
        <v>0</v>
      </c>
      <c r="BP218" s="51">
        <f t="shared" si="1749"/>
        <v>0</v>
      </c>
      <c r="BQ218" s="51">
        <f t="shared" si="1749"/>
        <v>0</v>
      </c>
      <c r="BR218" s="51">
        <f t="shared" si="1749"/>
        <v>6.4</v>
      </c>
      <c r="BS218" s="52">
        <f t="shared" si="1750"/>
        <v>0</v>
      </c>
      <c r="BT218" s="88">
        <f t="shared" si="1751"/>
        <v>0</v>
      </c>
      <c r="BU218" s="88">
        <f t="shared" si="1751"/>
        <v>0</v>
      </c>
      <c r="BV218" s="88">
        <f t="shared" si="1751"/>
        <v>0</v>
      </c>
      <c r="BW218" s="88">
        <f t="shared" si="1751"/>
        <v>0</v>
      </c>
      <c r="BX218" s="88">
        <f t="shared" si="1751"/>
        <v>0</v>
      </c>
      <c r="BY218" s="88">
        <f t="shared" si="1751"/>
        <v>0</v>
      </c>
      <c r="BZ218" s="88">
        <f t="shared" si="1751"/>
        <v>0</v>
      </c>
      <c r="CA218" s="88">
        <f t="shared" si="1751"/>
        <v>22.2</v>
      </c>
      <c r="CB218" s="88">
        <f t="shared" si="1751"/>
        <v>0</v>
      </c>
      <c r="CC218" s="88">
        <f t="shared" si="1751"/>
        <v>0</v>
      </c>
      <c r="CD218" s="103">
        <f t="shared" si="1752"/>
        <v>28.6</v>
      </c>
      <c r="CE218" s="52"/>
      <c r="CF218" s="109">
        <f t="shared" si="1753"/>
        <v>28.6</v>
      </c>
      <c r="CG218" s="104">
        <f t="shared" ref="CG218" si="1795">CD218/CF218</f>
        <v>1</v>
      </c>
      <c r="CH218" s="53">
        <f t="shared" si="1755"/>
        <v>0.32436564400757156</v>
      </c>
      <c r="CI218" s="119">
        <f t="shared" si="1756"/>
        <v>0.57848816937559999</v>
      </c>
      <c r="CJ218" s="53">
        <f t="shared" si="1757"/>
        <v>0.49216624261092851</v>
      </c>
      <c r="CK218" s="209"/>
      <c r="CL218" s="209">
        <f t="shared" si="1758"/>
        <v>79</v>
      </c>
      <c r="CM218" s="110">
        <f t="shared" si="1772"/>
        <v>0.78757498597693532</v>
      </c>
      <c r="CN218" s="64">
        <f>IF(SeilBeregnet=0,"-",(SeilBeregnet)^(1/2)*StHfaktor/(Depl+DeplTillegg/1000+Vann/1000+Diesel/1000*0.84)^(1/3))</f>
        <v>2.5032158118542052</v>
      </c>
      <c r="CO218" s="64">
        <f t="shared" si="1759"/>
        <v>1.8735725159712233</v>
      </c>
      <c r="CP218" s="64">
        <f t="shared" si="1760"/>
        <v>1.7505172633278749</v>
      </c>
      <c r="CQ218" s="110">
        <f t="shared" si="1761"/>
        <v>1.0078985048752331</v>
      </c>
      <c r="CR218" s="172" t="str">
        <f t="shared" si="1563"/>
        <v>-</v>
      </c>
      <c r="CS218" s="162"/>
      <c r="CT218" s="172" t="str">
        <f t="shared" si="1660"/>
        <v>-</v>
      </c>
      <c r="CU218" s="164"/>
      <c r="CV218" s="195" t="s">
        <v>145</v>
      </c>
      <c r="CW218" s="64">
        <v>0.72</v>
      </c>
      <c r="CX218" s="64">
        <v>0.77</v>
      </c>
      <c r="CY218" s="64">
        <v>0.76</v>
      </c>
      <c r="CZ218" s="154"/>
      <c r="DA218" s="64">
        <f t="shared" si="1663"/>
        <v>2.104742167486616</v>
      </c>
      <c r="DB218" s="49">
        <f t="shared" si="1664"/>
        <v>13.899323816679187</v>
      </c>
      <c r="DC218" s="50">
        <f t="shared" si="1665"/>
        <v>0</v>
      </c>
      <c r="DE218" s="110">
        <f>IF(SeilBeregnet=0,"-",DE$7*(DG:DG+DE$6)*DL:DL*PropF+ErfaringsF+Dyp_F)</f>
        <v>0.77786426669071396</v>
      </c>
      <c r="DF218" s="144" t="str">
        <f t="shared" ref="DF218:DF224" si="1796">IF($DQ218=0,"-",(DE218-$DO218)*100)</f>
        <v>-</v>
      </c>
      <c r="DG218" s="110">
        <f t="shared" si="1667"/>
        <v>4.4670597404999333</v>
      </c>
      <c r="DH218" s="136">
        <f>IF(SeilBeregnet=0,DH217,(SeilBeregnet^0.5/(Depl^0.3333))^DH$3*DH$7)</f>
        <v>2.5164714906255665</v>
      </c>
      <c r="DI218" s="136">
        <f>IF(SeilBeregnet=0,DI217,(SeilBeregnet^0.5/Lwl)^DI$3*DI$7)</f>
        <v>0</v>
      </c>
      <c r="DJ218" s="136">
        <f>IF(SeilBeregnet=0,DJ217,(0.1*Loa/Depl^0.3333)^DJ$3*DJ$7)</f>
        <v>0</v>
      </c>
      <c r="DK218" s="136">
        <f>IF(SeilBeregnet=0,DK217,((Loa)/Bredde)^DK$3*DK$7)</f>
        <v>1.9505882498743667</v>
      </c>
      <c r="DL218" s="110">
        <f>IF(SeilBeregnet=0,DL217,(Lwl)^DL$3)</f>
        <v>1.7505172633278749</v>
      </c>
      <c r="DM218" s="136">
        <f>IF(SeilBeregnet=0,DM217,(Dypg/Loa)^DM$3*5*DM$7)</f>
        <v>2.040322594990597</v>
      </c>
      <c r="DO218" s="110">
        <f t="shared" si="344"/>
        <v>0.80364794487442381</v>
      </c>
      <c r="DP218" s="110">
        <f t="shared" si="1668"/>
        <v>0.73184617366533455</v>
      </c>
      <c r="DR218" s="110">
        <f t="shared" si="1669"/>
        <v>0.78102293999872696</v>
      </c>
      <c r="DS218" s="125" t="str">
        <f t="shared" ref="DS218:DS224" si="1797">IF($DQ218=0,"-",DR218-$DO218)</f>
        <v>-</v>
      </c>
      <c r="DT218" s="110">
        <f t="shared" si="1671"/>
        <v>0.75890658451852377</v>
      </c>
      <c r="DU218" s="125" t="str">
        <f t="shared" ref="DU218:DU224" si="1798">IF($DQ218=0,"-",DT218-$DO218)</f>
        <v>-</v>
      </c>
      <c r="DV218" s="110">
        <f t="shared" si="1687"/>
        <v>2.5163007465476959</v>
      </c>
      <c r="DW218" s="110">
        <f t="shared" si="1688"/>
        <v>2.109548147034956</v>
      </c>
      <c r="DX218" s="110">
        <f t="shared" si="1689"/>
        <v>1.6277689216151001</v>
      </c>
      <c r="DZ218" s="110">
        <f t="shared" si="1673"/>
        <v>0.77956490419915947</v>
      </c>
      <c r="EB218" s="110">
        <f t="shared" si="1690"/>
        <v>2.5163007465476959</v>
      </c>
      <c r="EC218" s="110">
        <f t="shared" si="1691"/>
        <v>2.1096898909840953</v>
      </c>
      <c r="ED218" s="110">
        <f t="shared" si="1692"/>
        <v>1.9146767228439099</v>
      </c>
      <c r="EE218" s="110">
        <f t="shared" si="1674"/>
        <v>0.75665123037449045</v>
      </c>
      <c r="EG218" s="110">
        <f t="shared" si="1693"/>
        <v>4.0959561526672141</v>
      </c>
      <c r="EH218" s="110">
        <f t="shared" si="1694"/>
        <v>2.5163007465476959</v>
      </c>
      <c r="EI218" s="110">
        <f t="shared" si="1695"/>
        <v>1.6277689216151001</v>
      </c>
      <c r="EJ218" s="110">
        <f t="shared" si="1696"/>
        <v>1.7505172633278749</v>
      </c>
      <c r="EK218" s="110">
        <f>IF(SeilBeregnet=0,"-",EK$7*(EK$4*EM:EM+EK$6)*EP:EP*PropF+ErfaringsF+Dyp_F)</f>
        <v>0.75829131549243323</v>
      </c>
      <c r="EM218" s="110">
        <f>IF(SeilBeregnet=0,EM217,(EN:EN*EO:EO)^EM$3)</f>
        <v>1.6177400715324477</v>
      </c>
      <c r="EN218" s="110">
        <f t="shared" si="1697"/>
        <v>2.5163007465476959</v>
      </c>
      <c r="EO218" s="110">
        <f t="shared" si="1698"/>
        <v>1.0400517277723595</v>
      </c>
      <c r="EP218" s="110">
        <f t="shared" si="1699"/>
        <v>1.7740856413035511</v>
      </c>
      <c r="EQ218" s="110">
        <f>IF(SeilBeregnet=0,"-",EQ$7*(ES:ES+EQ$6)*EV:EV*PropF+ErfaringsF+Dyp_F)</f>
        <v>0.77351779610301774</v>
      </c>
      <c r="ES218" s="110">
        <f>(ET:ET*EU:EU)^ES$3</f>
        <v>1.6177949566354215</v>
      </c>
      <c r="ET218" s="110">
        <f t="shared" si="1700"/>
        <v>2.5164714906255665</v>
      </c>
      <c r="EU218" s="110">
        <f t="shared" si="1701"/>
        <v>1.0400517277723595</v>
      </c>
      <c r="EV218" s="110">
        <f t="shared" si="1702"/>
        <v>1.7740856413035511</v>
      </c>
      <c r="EW218" s="110">
        <f>IF(SeilBeregnet=0,"-",EW$7*(EY:EY+EW$6)*FB:FB*PropF+ErfaringsF+Dyp_F)</f>
        <v>0.7934122522546766</v>
      </c>
      <c r="EX218" s="144" t="str">
        <f t="shared" si="1788"/>
        <v>-</v>
      </c>
      <c r="EY218" s="110">
        <f>(EZ:EZ*FA:FA)^EY$3</f>
        <v>2.7220863276400786</v>
      </c>
      <c r="EZ218" s="136">
        <f t="shared" si="1703"/>
        <v>2.5164714906255665</v>
      </c>
      <c r="FA218" s="136">
        <f t="shared" si="1704"/>
        <v>1.0817075964422702</v>
      </c>
      <c r="FB218" s="110">
        <f t="shared" si="1705"/>
        <v>0.99764167053180919</v>
      </c>
      <c r="FC218" s="110">
        <f>IF(SeilBeregnet=0,"-",FC$7*(FE:FE+FC$6)*FI:FI*PropF+ErfaringsF+Dyp_F)</f>
        <v>0.75086442624629046</v>
      </c>
      <c r="FD218" s="144" t="str">
        <f t="shared" si="1789"/>
        <v>-</v>
      </c>
      <c r="FE218" s="110">
        <f>(FF:FF+FG:FG+FH:FH)^FE$3+FE$7</f>
        <v>4.5365908142857023</v>
      </c>
      <c r="FF218" s="136">
        <f t="shared" si="1706"/>
        <v>2.5164714906255665</v>
      </c>
      <c r="FG218" s="136">
        <f t="shared" si="1707"/>
        <v>0.56953107378576939</v>
      </c>
      <c r="FH218" s="136">
        <f t="shared" si="1708"/>
        <v>1.9505882498743667</v>
      </c>
      <c r="FI218" s="110">
        <f t="shared" si="1709"/>
        <v>1.7505172633278749</v>
      </c>
      <c r="FJ218" s="110">
        <f>IF(SeilBeregnet=0,"-",FJ$7*(FL:FL+FJ$6)*FO:FO*PropF+ErfaringsF+Dyp_F)</f>
        <v>0.79868122702744382</v>
      </c>
      <c r="FK218" s="144" t="str">
        <f t="shared" si="1790"/>
        <v>-</v>
      </c>
      <c r="FL218" s="110">
        <f>(FM:FM*FN:FN)^FL$3</f>
        <v>4.9085997207580627</v>
      </c>
      <c r="FM218" s="136">
        <f t="shared" si="1710"/>
        <v>2.5164714906255665</v>
      </c>
      <c r="FN218" s="136">
        <f t="shared" si="1711"/>
        <v>1.9505882498743667</v>
      </c>
      <c r="FO218" s="110">
        <f t="shared" si="1712"/>
        <v>1.7505172633278749</v>
      </c>
      <c r="FQ218" s="374">
        <v>1</v>
      </c>
      <c r="FR218" s="64">
        <f t="shared" si="1678"/>
        <v>1.0654043061945357</v>
      </c>
      <c r="FS218" s="479"/>
      <c r="FT218" s="18"/>
      <c r="FU218" s="481"/>
      <c r="FV218" s="504"/>
      <c r="FW218" s="18"/>
      <c r="FX218" s="18"/>
      <c r="FY218" s="18"/>
      <c r="FZ218" s="18"/>
      <c r="GB218" s="18"/>
      <c r="GC218" s="481"/>
      <c r="GD218" s="8"/>
      <c r="GE218" s="8"/>
      <c r="GF218" s="8"/>
      <c r="GG218" s="8"/>
      <c r="GI218" s="18"/>
      <c r="GJ218" s="18"/>
      <c r="GK218" s="18"/>
      <c r="GL218" s="18"/>
      <c r="GM218" s="18"/>
      <c r="GN218" s="18"/>
      <c r="GO218" s="18"/>
      <c r="GP218" s="18"/>
    </row>
    <row r="219" spans="1:198" ht="15.6" x14ac:dyDescent="0.3">
      <c r="A219" s="54" t="s">
        <v>50</v>
      </c>
      <c r="B219" s="223">
        <f t="shared" si="1724"/>
        <v>38.385826771653541</v>
      </c>
      <c r="C219" s="55" t="s">
        <v>41</v>
      </c>
      <c r="D219" s="55"/>
      <c r="E219" s="55"/>
      <c r="F219" s="55"/>
      <c r="G219" s="56" t="s">
        <v>30</v>
      </c>
      <c r="H219" s="209"/>
      <c r="I219" s="126" t="str">
        <f>A219</f>
        <v>Norion</v>
      </c>
      <c r="J219" s="229"/>
      <c r="K219" s="119"/>
      <c r="L219" s="119"/>
      <c r="M219" s="95"/>
      <c r="N219" s="265"/>
      <c r="O219" s="169"/>
      <c r="P219" s="169">
        <v>41</v>
      </c>
      <c r="Q219" s="169">
        <v>31</v>
      </c>
      <c r="R219" s="169"/>
      <c r="S219" s="169"/>
      <c r="T219" s="169">
        <v>27</v>
      </c>
      <c r="U219" s="169"/>
      <c r="V219" s="169"/>
      <c r="W219" s="169"/>
      <c r="X219" s="169"/>
      <c r="Y219" s="169"/>
      <c r="Z219" s="169"/>
      <c r="AA219" s="169"/>
      <c r="AB219" s="169">
        <v>33</v>
      </c>
      <c r="AC219" s="169"/>
      <c r="AD219" s="169"/>
      <c r="AE219" s="270">
        <v>11.85</v>
      </c>
      <c r="AF219" s="296"/>
      <c r="AG219" s="377"/>
      <c r="AH219" s="296"/>
      <c r="AI219" s="377"/>
      <c r="AJ219" s="298" t="s">
        <v>237</v>
      </c>
      <c r="AK219" s="47">
        <f>VLOOKUP(AJ219,Skrogform!$1:$1048576,3,FALSE)</f>
        <v>0.98</v>
      </c>
      <c r="AL219" s="57">
        <v>11.7</v>
      </c>
      <c r="AM219" s="57">
        <v>10.1</v>
      </c>
      <c r="AN219" s="57">
        <v>3.08</v>
      </c>
      <c r="AO219" s="57">
        <v>1.7</v>
      </c>
      <c r="AP219" s="57">
        <v>9.5</v>
      </c>
      <c r="AQ219" s="57">
        <v>3.6</v>
      </c>
      <c r="AR219" s="57"/>
      <c r="AS219" s="281">
        <v>52</v>
      </c>
      <c r="AT219" s="281">
        <v>235</v>
      </c>
      <c r="AU219" s="281">
        <f>ROUND(Depl*10,-2)</f>
        <v>100</v>
      </c>
      <c r="AV219" s="281">
        <f>ROUND(Depl*10,-2)</f>
        <v>100</v>
      </c>
      <c r="AW219" s="270">
        <f>Depl+Diesel/1000+Vann/1000</f>
        <v>9.6999999999999993</v>
      </c>
      <c r="AX219" s="281"/>
      <c r="AY219" s="98">
        <f>Bredde/(Loa+Lwl)*2</f>
        <v>0.28256880733944956</v>
      </c>
      <c r="AZ219" s="98">
        <f>(Kjøl+Ballast)/Depl</f>
        <v>0.37894736842105264</v>
      </c>
      <c r="BA219" s="288">
        <f>BA$7*((Depl-Kjøl-Ballast-VektMotor/1000-VektAnnet/1000)/Loa/Lwl/Bredde)</f>
        <v>0.673454214944469</v>
      </c>
      <c r="BB219" s="98">
        <f>BB$7*(Depl/Loa/Lwl/Lwl)</f>
        <v>0.59769986176851064</v>
      </c>
      <c r="BC219" s="178">
        <f>BC$7*(Depl/Loa/Lwl/Bredde)</f>
        <v>0.72447953894963424</v>
      </c>
      <c r="BD219" s="98">
        <f>BD$7*Bredde/(Loa+Lwl)*2</f>
        <v>0.80608069448554809</v>
      </c>
      <c r="BE219" s="98">
        <f>BE$7*(Dypg/Lwl)</f>
        <v>0.92061988807576411</v>
      </c>
      <c r="BF219" s="71" t="s">
        <v>42</v>
      </c>
      <c r="BG219" s="298">
        <v>2</v>
      </c>
      <c r="BH219" s="298">
        <v>50</v>
      </c>
      <c r="BI219" s="47">
        <f t="shared" si="1662"/>
        <v>0.98483025248958467</v>
      </c>
      <c r="BJ219" s="61"/>
      <c r="BK219" s="61"/>
      <c r="BM219" s="214"/>
      <c r="BN219" s="214" t="str">
        <f>$A219</f>
        <v>Norion</v>
      </c>
      <c r="BO219" s="10"/>
      <c r="BP219" s="10"/>
      <c r="BQ219" s="10"/>
      <c r="BR219" s="10"/>
      <c r="BS219" s="52"/>
      <c r="BT219" s="214" t="str">
        <f>$A219</f>
        <v>Norion</v>
      </c>
      <c r="BU219" s="10"/>
      <c r="BV219" s="10"/>
      <c r="BW219" s="10"/>
      <c r="BX219" s="10"/>
      <c r="BY219" s="10"/>
      <c r="BZ219" s="10"/>
      <c r="CA219" s="10"/>
      <c r="CB219" s="10"/>
      <c r="CC219" s="10"/>
      <c r="CD219" s="214"/>
      <c r="CE219" s="10"/>
      <c r="CF219" s="214" t="str">
        <f>$A219</f>
        <v>Norion</v>
      </c>
      <c r="CG219" s="212"/>
      <c r="CH219" s="212"/>
      <c r="CI219" s="119"/>
      <c r="CJ219" s="212"/>
      <c r="CK219" s="208"/>
      <c r="CL219" s="208" t="s">
        <v>26</v>
      </c>
      <c r="CM219" s="110" t="str">
        <f t="shared" si="1772"/>
        <v>-</v>
      </c>
      <c r="CN219" s="64" t="str">
        <f>IF(SeilBeregnet=0,"-",(SeilBeregnet)^(1/2)*StHfaktor/(Depl+DeplTillegg/1000+Vann/1000+Diesel/1000*0.84)^(1/3))</f>
        <v>-</v>
      </c>
      <c r="CO219" s="64" t="str">
        <f t="shared" si="1759"/>
        <v>-</v>
      </c>
      <c r="CP219" s="64" t="str">
        <f t="shared" si="1760"/>
        <v>-</v>
      </c>
      <c r="CQ219" s="110" t="str">
        <f t="shared" si="1761"/>
        <v>-</v>
      </c>
      <c r="CR219" s="172">
        <f t="shared" si="1563"/>
        <v>1.0767058823529414</v>
      </c>
      <c r="CS219" s="162">
        <v>1.04</v>
      </c>
      <c r="CT219" s="172" t="str">
        <f t="shared" si="1660"/>
        <v>-</v>
      </c>
      <c r="CU219" s="164">
        <v>1.3</v>
      </c>
      <c r="CV219" s="195" t="s">
        <v>145</v>
      </c>
      <c r="CW219" s="30" t="s">
        <v>26</v>
      </c>
      <c r="CX219" s="30" t="s">
        <v>26</v>
      </c>
      <c r="CY219" s="30" t="s">
        <v>26</v>
      </c>
      <c r="CZ219" s="153">
        <v>2022</v>
      </c>
      <c r="DA219" s="64" t="str">
        <f t="shared" si="1663"/>
        <v>-</v>
      </c>
      <c r="DB219" s="49">
        <f t="shared" si="1664"/>
        <v>11.988716502115656</v>
      </c>
      <c r="DC219" s="50">
        <f t="shared" si="1665"/>
        <v>0</v>
      </c>
      <c r="DE219" s="110" t="str">
        <f>IF(SeilBeregnet=0,"-",DE$7*(DG:DG+DE$6)*DL:DL*PropF+ErfaringsF+Dyp_F)</f>
        <v>-</v>
      </c>
      <c r="DF219" s="144" t="str">
        <f t="shared" si="1796"/>
        <v>-</v>
      </c>
      <c r="DG219" s="110">
        <f t="shared" si="1667"/>
        <v>4.4670597404999333</v>
      </c>
      <c r="DH219" s="136">
        <f>IF(SeilBeregnet=0,DH218,(SeilBeregnet^0.5/(Depl^0.3333))^DH$3*DH$7)</f>
        <v>2.5164714906255665</v>
      </c>
      <c r="DI219" s="136">
        <f>IF(SeilBeregnet=0,DI218,(SeilBeregnet^0.5/Lwl)^DI$3*DI$7)</f>
        <v>0</v>
      </c>
      <c r="DJ219" s="136">
        <f>IF(SeilBeregnet=0,DJ218,(0.1*Loa/Depl^0.3333)^DJ$3*DJ$7)</f>
        <v>0</v>
      </c>
      <c r="DK219" s="136">
        <f>IF(SeilBeregnet=0,DK218,((Loa)/Bredde)^DK$3*DK$7)</f>
        <v>1.9505882498743667</v>
      </c>
      <c r="DL219" s="110">
        <f>IF(SeilBeregnet=0,DL218,(Lwl)^DL$3)</f>
        <v>1.7505172633278749</v>
      </c>
      <c r="DM219" s="136">
        <f>IF(SeilBeregnet=0,DM218,(Dypg/Loa)^DM$3*5*DM$7)</f>
        <v>2.040322594990597</v>
      </c>
      <c r="DO219" s="110" t="str">
        <f t="shared" si="344"/>
        <v>-</v>
      </c>
      <c r="DP219" s="110" t="str">
        <f t="shared" si="1668"/>
        <v>-</v>
      </c>
      <c r="DR219" s="110" t="str">
        <f t="shared" si="1669"/>
        <v>-</v>
      </c>
      <c r="DS219" s="125" t="str">
        <f t="shared" si="1797"/>
        <v>-</v>
      </c>
      <c r="DT219" s="110" t="str">
        <f t="shared" si="1671"/>
        <v>-</v>
      </c>
      <c r="DU219" s="125" t="str">
        <f t="shared" si="1798"/>
        <v>-</v>
      </c>
      <c r="DV219" s="110">
        <f t="shared" si="1687"/>
        <v>2.5163007465476959</v>
      </c>
      <c r="DW219" s="110">
        <f t="shared" si="1688"/>
        <v>2.109548147034956</v>
      </c>
      <c r="DX219" s="110">
        <f t="shared" si="1689"/>
        <v>1.6277689216151001</v>
      </c>
      <c r="DZ219" s="110" t="str">
        <f t="shared" si="1673"/>
        <v>-</v>
      </c>
      <c r="EB219" s="110">
        <f t="shared" si="1690"/>
        <v>2.5163007465476959</v>
      </c>
      <c r="EC219" s="110">
        <f t="shared" si="1691"/>
        <v>2.1096898909840953</v>
      </c>
      <c r="ED219" s="110">
        <f t="shared" si="1692"/>
        <v>1.9146767228439099</v>
      </c>
      <c r="EE219" s="110" t="str">
        <f t="shared" si="1674"/>
        <v>-</v>
      </c>
      <c r="EG219" s="110">
        <f t="shared" si="1693"/>
        <v>4.0959561526672141</v>
      </c>
      <c r="EH219" s="110">
        <f t="shared" si="1694"/>
        <v>2.5163007465476959</v>
      </c>
      <c r="EI219" s="110">
        <f t="shared" si="1695"/>
        <v>1.6277689216151001</v>
      </c>
      <c r="EJ219" s="110">
        <f t="shared" si="1696"/>
        <v>1.7505172633278749</v>
      </c>
      <c r="EK219" s="110" t="str">
        <f>IF(SeilBeregnet=0,"-",EK$7*(EK$4*EM:EM+EK$6)*EP:EP*PropF+ErfaringsF+Dyp_F)</f>
        <v>-</v>
      </c>
      <c r="EM219" s="110">
        <f>IF(SeilBeregnet=0,EM218,(EN:EN*EO:EO)^EM$3)</f>
        <v>1.6177400715324477</v>
      </c>
      <c r="EN219" s="110">
        <f t="shared" si="1697"/>
        <v>2.5163007465476959</v>
      </c>
      <c r="EO219" s="110">
        <f t="shared" si="1698"/>
        <v>1.0400517277723595</v>
      </c>
      <c r="EP219" s="110">
        <f t="shared" si="1699"/>
        <v>1.7740856413035511</v>
      </c>
      <c r="EQ219" s="110" t="str">
        <f>IF(SeilBeregnet=0,"-",EQ$7*(ES:ES+EQ$6)*EV:EV*PropF+ErfaringsF+Dyp_F)</f>
        <v>-</v>
      </c>
      <c r="ES219" s="110">
        <f>(ET:ET*EU:EU)^ES$3</f>
        <v>1.6177949566354215</v>
      </c>
      <c r="ET219" s="110">
        <f t="shared" si="1700"/>
        <v>2.5164714906255665</v>
      </c>
      <c r="EU219" s="110">
        <f t="shared" si="1701"/>
        <v>1.0400517277723595</v>
      </c>
      <c r="EV219" s="110">
        <f t="shared" si="1702"/>
        <v>1.7740856413035511</v>
      </c>
      <c r="EW219" s="110" t="str">
        <f>IF(SeilBeregnet=0,"-",EW$7*(EY:EY+EW$6)*FB:FB*PropF+ErfaringsF+Dyp_F)</f>
        <v>-</v>
      </c>
      <c r="EX219" s="144" t="str">
        <f t="shared" si="1788"/>
        <v>-</v>
      </c>
      <c r="EY219" s="110">
        <f>(EZ:EZ*FA:FA)^EY$3</f>
        <v>2.7220863276400786</v>
      </c>
      <c r="EZ219" s="136">
        <f t="shared" si="1703"/>
        <v>2.5164714906255665</v>
      </c>
      <c r="FA219" s="136">
        <f t="shared" si="1704"/>
        <v>1.0817075964422702</v>
      </c>
      <c r="FB219" s="110">
        <f t="shared" si="1705"/>
        <v>0.99764167053180919</v>
      </c>
      <c r="FC219" s="110" t="str">
        <f>IF(SeilBeregnet=0,"-",FC$7*(FE:FE+FC$6)*FI:FI*PropF+ErfaringsF+Dyp_F)</f>
        <v>-</v>
      </c>
      <c r="FD219" s="144" t="str">
        <f t="shared" si="1789"/>
        <v>-</v>
      </c>
      <c r="FE219" s="110">
        <f>(FF:FF+FG:FG+FH:FH)^FE$3+FE$7</f>
        <v>4.5365908142857023</v>
      </c>
      <c r="FF219" s="136">
        <f t="shared" si="1706"/>
        <v>2.5164714906255665</v>
      </c>
      <c r="FG219" s="136">
        <f t="shared" si="1707"/>
        <v>0.56953107378576939</v>
      </c>
      <c r="FH219" s="136">
        <f t="shared" si="1708"/>
        <v>1.9505882498743667</v>
      </c>
      <c r="FI219" s="110">
        <f t="shared" si="1709"/>
        <v>1.7505172633278749</v>
      </c>
      <c r="FJ219" s="110" t="str">
        <f>IF(SeilBeregnet=0,"-",FJ$7*(FL:FL+FJ$6)*FO:FO*PropF+ErfaringsF+Dyp_F)</f>
        <v>-</v>
      </c>
      <c r="FK219" s="144" t="str">
        <f t="shared" si="1790"/>
        <v>-</v>
      </c>
      <c r="FL219" s="110">
        <f>(FM:FM*FN:FN)^FL$3</f>
        <v>4.9085997207580627</v>
      </c>
      <c r="FM219" s="136">
        <f t="shared" si="1710"/>
        <v>2.5164714906255665</v>
      </c>
      <c r="FN219" s="136">
        <f t="shared" si="1711"/>
        <v>1.9505882498743667</v>
      </c>
      <c r="FO219" s="110">
        <f t="shared" si="1712"/>
        <v>1.7505172633278749</v>
      </c>
      <c r="FQ219" s="374">
        <v>1</v>
      </c>
      <c r="FR219" s="64" t="str">
        <f t="shared" si="1678"/>
        <v>-</v>
      </c>
      <c r="FS219" s="480" t="s">
        <v>51</v>
      </c>
      <c r="FT219" s="59" t="s">
        <v>51</v>
      </c>
      <c r="FU219" s="475"/>
      <c r="FV219" s="77" t="s">
        <v>52</v>
      </c>
      <c r="FW219" s="59"/>
      <c r="FX219" s="59"/>
      <c r="FY219" s="59"/>
      <c r="FZ219" s="59"/>
      <c r="GB219" s="59" t="s">
        <v>522</v>
      </c>
      <c r="GC219" s="475" t="s">
        <v>522</v>
      </c>
      <c r="GD219" s="60" t="s">
        <v>522</v>
      </c>
      <c r="GE219" s="60" t="s">
        <v>522</v>
      </c>
      <c r="GF219" s="60" t="s">
        <v>522</v>
      </c>
      <c r="GG219" s="60" t="s">
        <v>522</v>
      </c>
      <c r="GI219" s="59"/>
      <c r="GJ219" s="59"/>
      <c r="GK219" s="59"/>
      <c r="GL219" s="59"/>
      <c r="GM219" s="59"/>
      <c r="GN219" s="59"/>
      <c r="GO219" s="59"/>
      <c r="GP219" s="59"/>
    </row>
    <row r="220" spans="1:198" ht="15.6" x14ac:dyDescent="0.3">
      <c r="A220" s="62" t="s">
        <v>71</v>
      </c>
      <c r="B220" s="223"/>
      <c r="C220" s="63" t="str">
        <f>C219</f>
        <v>Bermuda</v>
      </c>
      <c r="D220" s="63"/>
      <c r="E220" s="63"/>
      <c r="F220" s="63"/>
      <c r="G220" s="56"/>
      <c r="H220" s="209">
        <f>TBFavrundet</f>
        <v>109.5</v>
      </c>
      <c r="I220" s="65">
        <f>COUNTA(O220:AD220)</f>
        <v>2</v>
      </c>
      <c r="J220" s="228">
        <f>SUM(O220:AD220)</f>
        <v>74</v>
      </c>
      <c r="K220" s="119">
        <f>Seilareal/Depl^0.667/K$7</f>
        <v>1.5072782626003054</v>
      </c>
      <c r="L220" s="119">
        <f>Seilareal/Lwl/Lwl/L$7</f>
        <v>1.1006923446585566</v>
      </c>
      <c r="M220" s="95">
        <f>RiggF</f>
        <v>1</v>
      </c>
      <c r="N220" s="265">
        <f>StHfaktor</f>
        <v>1.0201748717225139</v>
      </c>
      <c r="O220" s="147"/>
      <c r="P220" s="169">
        <v>41</v>
      </c>
      <c r="Q220" s="147"/>
      <c r="R220" s="147"/>
      <c r="S220" s="147"/>
      <c r="T220" s="147"/>
      <c r="U220" s="148"/>
      <c r="V220" s="148"/>
      <c r="W220" s="148"/>
      <c r="X220" s="148"/>
      <c r="Y220" s="147"/>
      <c r="Z220" s="147"/>
      <c r="AA220" s="147"/>
      <c r="AB220" s="169">
        <v>33</v>
      </c>
      <c r="AC220" s="147"/>
      <c r="AD220" s="148"/>
      <c r="AE220" s="260">
        <f t="shared" ref="AE220" si="1799">AE219</f>
        <v>11.85</v>
      </c>
      <c r="AF220" s="375">
        <f t="shared" ref="AF220:AH222" si="1800" xml:space="preserve"> AF219</f>
        <v>0</v>
      </c>
      <c r="AG220" s="377"/>
      <c r="AH220" s="375">
        <f t="shared" si="1800"/>
        <v>0</v>
      </c>
      <c r="AI220" s="377"/>
      <c r="AJ220" s="295" t="str">
        <f t="shared" ref="AJ220" si="1801" xml:space="preserve"> AJ219</f>
        <v>Lystb</v>
      </c>
      <c r="AK220" s="47">
        <f>VLOOKUP(AJ220,Skrogform!$1:$1048576,3,FALSE)</f>
        <v>0.98</v>
      </c>
      <c r="AL220" s="66">
        <f t="shared" ref="AL220:AT222" si="1802">AL219</f>
        <v>11.7</v>
      </c>
      <c r="AM220" s="66">
        <f t="shared" si="1802"/>
        <v>10.1</v>
      </c>
      <c r="AN220" s="66">
        <f t="shared" si="1802"/>
        <v>3.08</v>
      </c>
      <c r="AO220" s="66">
        <f t="shared" si="1802"/>
        <v>1.7</v>
      </c>
      <c r="AP220" s="66">
        <f t="shared" si="1802"/>
        <v>9.5</v>
      </c>
      <c r="AQ220" s="66">
        <f t="shared" si="1802"/>
        <v>3.6</v>
      </c>
      <c r="AR220" s="66">
        <f t="shared" si="1802"/>
        <v>0</v>
      </c>
      <c r="AS220" s="284">
        <f t="shared" si="1802"/>
        <v>52</v>
      </c>
      <c r="AT220" s="284">
        <f t="shared" si="1802"/>
        <v>235</v>
      </c>
      <c r="AU220" s="284">
        <f t="shared" ref="AU220:AV220" si="1803">AU219</f>
        <v>100</v>
      </c>
      <c r="AV220" s="284">
        <f t="shared" si="1803"/>
        <v>100</v>
      </c>
      <c r="AW220" s="284"/>
      <c r="AX220" s="284">
        <f>AX219</f>
        <v>0</v>
      </c>
      <c r="AY220" s="68"/>
      <c r="AZ220" s="68"/>
      <c r="BA220" s="289"/>
      <c r="BB220" s="68"/>
      <c r="BC220" s="179"/>
      <c r="BD220" s="68"/>
      <c r="BE220" s="68"/>
      <c r="BF220" s="67" t="str">
        <f t="shared" ref="BF220:BH222" si="1804" xml:space="preserve"> BF219</f>
        <v>Fast</v>
      </c>
      <c r="BG220" s="295">
        <f t="shared" si="1804"/>
        <v>2</v>
      </c>
      <c r="BH220" s="295">
        <f t="shared" si="1804"/>
        <v>50</v>
      </c>
      <c r="BI220" s="47">
        <f t="shared" si="1662"/>
        <v>0.98483025248958467</v>
      </c>
      <c r="BJ220" s="61"/>
      <c r="BK220" s="61"/>
      <c r="BM220" s="51">
        <f t="shared" ref="BM220:BR222" si="1805">IF(O220=0,0,O220*BM$9)</f>
        <v>0</v>
      </c>
      <c r="BN220" s="51">
        <f t="shared" si="1805"/>
        <v>41</v>
      </c>
      <c r="BO220" s="51">
        <f t="shared" si="1805"/>
        <v>0</v>
      </c>
      <c r="BP220" s="51">
        <f t="shared" si="1805"/>
        <v>0</v>
      </c>
      <c r="BQ220" s="51">
        <f t="shared" si="1805"/>
        <v>0</v>
      </c>
      <c r="BR220" s="51">
        <f t="shared" si="1805"/>
        <v>0</v>
      </c>
      <c r="BS220" s="52">
        <f>IF(COUNT(P220:T220)&gt;1,MINA(P220:T220)*BS$9,0)</f>
        <v>0</v>
      </c>
      <c r="BT220" s="88">
        <f t="shared" ref="BT220:CC222" si="1806">IF(U220=0,0,U220*BT$9)</f>
        <v>0</v>
      </c>
      <c r="BU220" s="88">
        <f t="shared" si="1806"/>
        <v>0</v>
      </c>
      <c r="BV220" s="88">
        <f t="shared" si="1806"/>
        <v>0</v>
      </c>
      <c r="BW220" s="88">
        <f t="shared" si="1806"/>
        <v>0</v>
      </c>
      <c r="BX220" s="88">
        <f t="shared" si="1806"/>
        <v>0</v>
      </c>
      <c r="BY220" s="88">
        <f t="shared" si="1806"/>
        <v>0</v>
      </c>
      <c r="BZ220" s="88">
        <f t="shared" si="1806"/>
        <v>0</v>
      </c>
      <c r="CA220" s="88">
        <f t="shared" si="1806"/>
        <v>33</v>
      </c>
      <c r="CB220" s="88">
        <f t="shared" si="1806"/>
        <v>0</v>
      </c>
      <c r="CC220" s="88">
        <f t="shared" si="1806"/>
        <v>0</v>
      </c>
      <c r="CD220" s="103">
        <f>SUM(BM220:CC220)</f>
        <v>74</v>
      </c>
      <c r="CE220" s="52"/>
      <c r="CF220" s="109">
        <f>J220</f>
        <v>74</v>
      </c>
      <c r="CG220" s="104">
        <f t="shared" si="1754"/>
        <v>1</v>
      </c>
      <c r="CH220" s="53">
        <f>Seilareal/Lwl/Lwl</f>
        <v>0.72541907656112148</v>
      </c>
      <c r="CI220" s="119">
        <f>Seilareal/Depl^0.667/K$7</f>
        <v>1.5072782626003054</v>
      </c>
      <c r="CJ220" s="53">
        <f>Seilareal/Lwl/Lwl/SApRS1</f>
        <v>1.1006923446585566</v>
      </c>
      <c r="CK220" s="209"/>
      <c r="CL220" s="209">
        <f>(ROUND(TBF/CL$6,3)*CL$6)*CL$4</f>
        <v>109.5</v>
      </c>
      <c r="CM220" s="110">
        <f t="shared" si="1772"/>
        <v>1.0940247744155638</v>
      </c>
      <c r="CN220" s="64">
        <f>IF(SeilBeregnet=0,"-",(SeilBeregnet)^(1/2)*StHfaktor/(Depl+DeplTillegg/1000+Vann/1000+Diesel/1000*0.84)^(1/3))</f>
        <v>4.0892742365258163</v>
      </c>
      <c r="CO220" s="64">
        <f t="shared" si="1759"/>
        <v>1.88121265118036</v>
      </c>
      <c r="CP220" s="64">
        <f t="shared" si="1760"/>
        <v>1.7827085337805899</v>
      </c>
      <c r="CQ220" s="110">
        <f t="shared" si="1761"/>
        <v>1.0201748717225139</v>
      </c>
      <c r="CR220" s="172">
        <f t="shared" si="1563"/>
        <v>1.0767058823529414</v>
      </c>
      <c r="CS220" s="163">
        <f>CS219</f>
        <v>1.04</v>
      </c>
      <c r="CT220" s="172">
        <f t="shared" si="1660"/>
        <v>1.0035087719298248</v>
      </c>
      <c r="CU220" s="163">
        <f>CU219</f>
        <v>1.3</v>
      </c>
      <c r="CV220" s="195" t="s">
        <v>145</v>
      </c>
      <c r="CW220" s="64">
        <v>1.07</v>
      </c>
      <c r="CX220" s="64">
        <v>0.98</v>
      </c>
      <c r="CY220" s="64">
        <v>1.0900000000000001</v>
      </c>
      <c r="CZ220" s="154">
        <v>1.1100000000000001</v>
      </c>
      <c r="DA220" s="64">
        <f t="shared" si="1663"/>
        <v>1.9432320747231417</v>
      </c>
      <c r="DB220" s="49">
        <f t="shared" si="1664"/>
        <v>11.988716502115656</v>
      </c>
      <c r="DC220" s="50">
        <f t="shared" si="1665"/>
        <v>0</v>
      </c>
      <c r="DE220" s="110">
        <f>IF(SeilBeregnet=0,"-",DE$7*(DG:DG+DE$6)*DL:DL*PropF+ErfaringsF+Dyp_F)</f>
        <v>1.0658893756425214</v>
      </c>
      <c r="DF220" s="144">
        <f t="shared" si="1796"/>
        <v>-5.0462434985604876</v>
      </c>
      <c r="DG220" s="110">
        <f t="shared" si="1667"/>
        <v>6.0110319331913189</v>
      </c>
      <c r="DH220" s="136">
        <f>IF(SeilBeregnet=0,DH219,(SeilBeregnet^0.5/(Depl^0.3333))^DH$3*DH$7)</f>
        <v>4.0620062025501609</v>
      </c>
      <c r="DI220" s="136">
        <f>IF(SeilBeregnet=0,DI219,(SeilBeregnet^0.5/Lwl)^DI$3*DI$7)</f>
        <v>0</v>
      </c>
      <c r="DJ220" s="136">
        <f>IF(SeilBeregnet=0,DJ219,(0.1*Loa/Depl^0.3333)^DJ$3*DJ$7)</f>
        <v>0</v>
      </c>
      <c r="DK220" s="136">
        <f>IF(SeilBeregnet=0,DK219,((Loa)/Bredde)^DK$3*DK$7)</f>
        <v>1.9490257306411576</v>
      </c>
      <c r="DL220" s="110">
        <f>IF(SeilBeregnet=0,DL219,(Lwl)^DL$3)</f>
        <v>1.7827085337805899</v>
      </c>
      <c r="DM220" s="136">
        <f>IF(SeilBeregnet=0,DM219,(Dypg/Loa)^DM$3*5*DM$7)</f>
        <v>1.9059062496562187</v>
      </c>
      <c r="DO220" s="110">
        <f t="shared" si="344"/>
        <v>1.1163518106281263</v>
      </c>
      <c r="DP220" s="110">
        <f t="shared" si="1668"/>
        <v>1.0407280210779397</v>
      </c>
      <c r="DQ220" s="125">
        <f>DP220-DO220</f>
        <v>-7.562378955018656E-2</v>
      </c>
      <c r="DR220" s="110">
        <f t="shared" si="1669"/>
        <v>1.0414652975025247</v>
      </c>
      <c r="DS220" s="125">
        <f t="shared" si="1797"/>
        <v>-7.4886513125601573E-2</v>
      </c>
      <c r="DT220" s="110">
        <f t="shared" si="1671"/>
        <v>1.1093453666841704</v>
      </c>
      <c r="DU220" s="125">
        <f t="shared" si="1798"/>
        <v>-7.0064439439558868E-3</v>
      </c>
      <c r="DV220" s="110">
        <f t="shared" si="1687"/>
        <v>4.0617318689768487</v>
      </c>
      <c r="DW220" s="110">
        <f t="shared" si="1688"/>
        <v>2.1614257140723043</v>
      </c>
      <c r="DX220" s="110">
        <f t="shared" si="1689"/>
        <v>1.6310844383437393</v>
      </c>
      <c r="DZ220" s="110">
        <f t="shared" si="1673"/>
        <v>1.1004052606162253</v>
      </c>
      <c r="EB220" s="110">
        <f t="shared" si="1690"/>
        <v>4.0617318689768487</v>
      </c>
      <c r="EC220" s="110">
        <f t="shared" si="1691"/>
        <v>2.1615756704798308</v>
      </c>
      <c r="ED220" s="110">
        <f t="shared" si="1692"/>
        <v>1.9198778385445259</v>
      </c>
      <c r="EE220" s="110">
        <f t="shared" si="1674"/>
        <v>1.090173048607618</v>
      </c>
      <c r="EG220" s="110">
        <f t="shared" si="1693"/>
        <v>6.6250276442129694</v>
      </c>
      <c r="EH220" s="110">
        <f t="shared" si="1694"/>
        <v>4.0617318689768487</v>
      </c>
      <c r="EI220" s="110">
        <f t="shared" si="1695"/>
        <v>1.6310844383437393</v>
      </c>
      <c r="EJ220" s="110">
        <f t="shared" si="1696"/>
        <v>1.7827085337805899</v>
      </c>
      <c r="EK220" s="110">
        <f>IF(SeilBeregnet=0,"-",EK$7*(EK$4*EM:EM+EK$6)*EP:EP*PropF+ErfaringsF+Dyp_F)</f>
        <v>1.0740328320538346</v>
      </c>
      <c r="EM220" s="110">
        <f>IF(SeilBeregnet=0,EM219,(EN:EN*EO:EO)^EM$3)</f>
        <v>2.0574293982323684</v>
      </c>
      <c r="EN220" s="110">
        <f t="shared" si="1697"/>
        <v>4.0617318689768487</v>
      </c>
      <c r="EO220" s="110">
        <f t="shared" si="1698"/>
        <v>1.0421701543231365</v>
      </c>
      <c r="EP220" s="110">
        <f t="shared" si="1699"/>
        <v>1.8035218860491042</v>
      </c>
      <c r="EQ220" s="110">
        <f>IF(SeilBeregnet=0,"-",EQ$7*(ES:ES+EQ$6)*EV:EV*PropF+ErfaringsF+Dyp_F)</f>
        <v>1.000000846370916</v>
      </c>
      <c r="ES220" s="110">
        <f>(ET:ET*EU:EU)^ES$3</f>
        <v>2.0574988775144543</v>
      </c>
      <c r="ET220" s="110">
        <f t="shared" si="1700"/>
        <v>4.0620062025501609</v>
      </c>
      <c r="EU220" s="110">
        <f t="shared" si="1701"/>
        <v>1.0421701543231365</v>
      </c>
      <c r="EV220" s="110">
        <f t="shared" si="1702"/>
        <v>1.8035218860491042</v>
      </c>
      <c r="EW220" s="110">
        <f>IF(SeilBeregnet=0,"-",EW$7*(EY:EY+EW$6)*FB:FB*PropF+ErfaringsF+Dyp_F)</f>
        <v>1.0951163720624535</v>
      </c>
      <c r="EX220" s="144">
        <f t="shared" si="1788"/>
        <v>-2.1235438565672782</v>
      </c>
      <c r="EY220" s="110">
        <f>(EZ:EZ*FA:FA)^EY$3</f>
        <v>4.4118206140477669</v>
      </c>
      <c r="EZ220" s="136">
        <f t="shared" si="1703"/>
        <v>4.0620062025501609</v>
      </c>
      <c r="FA220" s="136">
        <f t="shared" si="1704"/>
        <v>1.0861186305619104</v>
      </c>
      <c r="FB220" s="110">
        <f t="shared" si="1705"/>
        <v>1.014194887410651</v>
      </c>
      <c r="FC220" s="110">
        <f>IF(SeilBeregnet=0,"-",FC$7*(FE:FE+FC$6)*FI:FI*PropF+ErfaringsF+Dyp_F)</f>
        <v>1.0724020443916809</v>
      </c>
      <c r="FD220" s="144">
        <f t="shared" si="1789"/>
        <v>-4.394976623644542</v>
      </c>
      <c r="FE220" s="110">
        <f>(FF:FF+FG:FG+FH:FH)^FE$3+FE$7</f>
        <v>6.3627473061658364</v>
      </c>
      <c r="FF220" s="136">
        <f t="shared" si="1706"/>
        <v>4.0620062025501609</v>
      </c>
      <c r="FG220" s="136">
        <f t="shared" si="1707"/>
        <v>0.85171537297451749</v>
      </c>
      <c r="FH220" s="136">
        <f t="shared" si="1708"/>
        <v>1.9490257306411576</v>
      </c>
      <c r="FI220" s="110">
        <f t="shared" si="1709"/>
        <v>1.7827085337805899</v>
      </c>
      <c r="FJ220" s="110">
        <f>IF(SeilBeregnet=0,"-",FJ$7*(FL:FL+FJ$6)*FO:FO*PropF+ErfaringsF+Dyp_F)</f>
        <v>1.0879535487841445</v>
      </c>
      <c r="FK220" s="144">
        <f t="shared" si="1790"/>
        <v>-2.8398261843981754</v>
      </c>
      <c r="FL220" s="110">
        <f>(FM:FM*FN:FN)^FL$3</f>
        <v>7.9169546067942411</v>
      </c>
      <c r="FM220" s="136">
        <f t="shared" si="1710"/>
        <v>4.0620062025501609</v>
      </c>
      <c r="FN220" s="136">
        <f t="shared" si="1711"/>
        <v>1.9490257306411576</v>
      </c>
      <c r="FO220" s="110">
        <f t="shared" si="1712"/>
        <v>1.7827085337805899</v>
      </c>
      <c r="FQ220" s="374">
        <v>1</v>
      </c>
      <c r="FR220" s="64">
        <f t="shared" si="1678"/>
        <v>1.3200040485134783</v>
      </c>
      <c r="FS220" s="479"/>
      <c r="FT220" s="18"/>
      <c r="FU220" s="481"/>
      <c r="FV220" s="504"/>
      <c r="FW220" s="18"/>
      <c r="FX220" s="18"/>
      <c r="FY220" s="18"/>
      <c r="FZ220" s="18"/>
      <c r="GB220" s="18"/>
      <c r="GC220" s="481"/>
      <c r="GD220" s="8"/>
      <c r="GE220" s="8"/>
      <c r="GF220" s="8"/>
      <c r="GG220" s="8"/>
      <c r="GI220" s="18"/>
      <c r="GJ220" s="18"/>
      <c r="GK220" s="18"/>
      <c r="GL220" s="18"/>
      <c r="GM220" s="18"/>
      <c r="GN220" s="18"/>
      <c r="GO220" s="18"/>
      <c r="GP220" s="18"/>
    </row>
    <row r="221" spans="1:198" ht="15.6" x14ac:dyDescent="0.3">
      <c r="A221" s="62" t="s">
        <v>72</v>
      </c>
      <c r="B221" s="223"/>
      <c r="C221" s="63" t="str">
        <f t="shared" ref="C221:C222" si="1807">C220</f>
        <v>Bermuda</v>
      </c>
      <c r="D221" s="63"/>
      <c r="E221" s="63"/>
      <c r="F221" s="63"/>
      <c r="G221" s="56"/>
      <c r="H221" s="209">
        <f>TBFavrundet</f>
        <v>104</v>
      </c>
      <c r="I221" s="65">
        <f>COUNTA(O221:AD221)</f>
        <v>2</v>
      </c>
      <c r="J221" s="228">
        <f>SUM(O221:AD221)</f>
        <v>64</v>
      </c>
      <c r="K221" s="119">
        <f>Seilareal/Depl^0.667/K$7</f>
        <v>1.3035920108975614</v>
      </c>
      <c r="L221" s="119">
        <f>Seilareal/Lwl/Lwl/L$7</f>
        <v>0.95195013592091393</v>
      </c>
      <c r="M221" s="95">
        <f>RiggF</f>
        <v>1</v>
      </c>
      <c r="N221" s="265">
        <f>StHfaktor</f>
        <v>1.0201748717225139</v>
      </c>
      <c r="O221" s="147"/>
      <c r="P221" s="147"/>
      <c r="Q221" s="169">
        <v>31</v>
      </c>
      <c r="R221" s="147"/>
      <c r="S221" s="147"/>
      <c r="T221" s="147"/>
      <c r="U221" s="148"/>
      <c r="V221" s="148"/>
      <c r="W221" s="148"/>
      <c r="X221" s="148"/>
      <c r="Y221" s="147"/>
      <c r="Z221" s="147"/>
      <c r="AA221" s="147"/>
      <c r="AB221" s="169">
        <v>33</v>
      </c>
      <c r="AC221" s="147"/>
      <c r="AD221" s="148"/>
      <c r="AE221" s="260">
        <f t="shared" ref="AE221" si="1808">AE220</f>
        <v>11.85</v>
      </c>
      <c r="AF221" s="375">
        <f t="shared" si="1800"/>
        <v>0</v>
      </c>
      <c r="AG221" s="377"/>
      <c r="AH221" s="375">
        <f t="shared" si="1800"/>
        <v>0</v>
      </c>
      <c r="AI221" s="377"/>
      <c r="AJ221" s="295" t="str">
        <f t="shared" ref="AJ221" si="1809" xml:space="preserve"> AJ220</f>
        <v>Lystb</v>
      </c>
      <c r="AK221" s="47">
        <f>VLOOKUP(AJ221,Skrogform!$1:$1048576,3,FALSE)</f>
        <v>0.98</v>
      </c>
      <c r="AL221" s="66">
        <f t="shared" si="1802"/>
        <v>11.7</v>
      </c>
      <c r="AM221" s="66">
        <f t="shared" si="1802"/>
        <v>10.1</v>
      </c>
      <c r="AN221" s="66">
        <f t="shared" si="1802"/>
        <v>3.08</v>
      </c>
      <c r="AO221" s="66">
        <f t="shared" si="1802"/>
        <v>1.7</v>
      </c>
      <c r="AP221" s="66">
        <f t="shared" si="1802"/>
        <v>9.5</v>
      </c>
      <c r="AQ221" s="66">
        <f t="shared" si="1802"/>
        <v>3.6</v>
      </c>
      <c r="AR221" s="66">
        <f t="shared" si="1802"/>
        <v>0</v>
      </c>
      <c r="AS221" s="284">
        <f t="shared" si="1802"/>
        <v>52</v>
      </c>
      <c r="AT221" s="284">
        <f t="shared" si="1802"/>
        <v>235</v>
      </c>
      <c r="AU221" s="284">
        <f t="shared" ref="AU221:AV221" si="1810">AU220</f>
        <v>100</v>
      </c>
      <c r="AV221" s="284">
        <f t="shared" si="1810"/>
        <v>100</v>
      </c>
      <c r="AW221" s="284"/>
      <c r="AX221" s="284">
        <f>AX220</f>
        <v>0</v>
      </c>
      <c r="AY221" s="68"/>
      <c r="AZ221" s="68"/>
      <c r="BA221" s="289"/>
      <c r="BB221" s="68"/>
      <c r="BC221" s="179"/>
      <c r="BD221" s="68"/>
      <c r="BE221" s="68"/>
      <c r="BF221" s="67" t="str">
        <f t="shared" si="1804"/>
        <v>Fast</v>
      </c>
      <c r="BG221" s="295">
        <f t="shared" si="1804"/>
        <v>2</v>
      </c>
      <c r="BH221" s="295">
        <f t="shared" si="1804"/>
        <v>50</v>
      </c>
      <c r="BI221" s="47">
        <f t="shared" si="1662"/>
        <v>0.98483025248958467</v>
      </c>
      <c r="BJ221" s="61"/>
      <c r="BK221" s="61"/>
      <c r="BM221" s="51">
        <f t="shared" si="1805"/>
        <v>0</v>
      </c>
      <c r="BN221" s="51">
        <f t="shared" si="1805"/>
        <v>0</v>
      </c>
      <c r="BO221" s="51">
        <f t="shared" si="1805"/>
        <v>31</v>
      </c>
      <c r="BP221" s="51">
        <f t="shared" si="1805"/>
        <v>0</v>
      </c>
      <c r="BQ221" s="51">
        <f t="shared" si="1805"/>
        <v>0</v>
      </c>
      <c r="BR221" s="51">
        <f t="shared" si="1805"/>
        <v>0</v>
      </c>
      <c r="BS221" s="52">
        <f>IF(COUNT(P221:T221)&gt;1,MINA(P221:T221)*BS$9,0)</f>
        <v>0</v>
      </c>
      <c r="BT221" s="88">
        <f t="shared" si="1806"/>
        <v>0</v>
      </c>
      <c r="BU221" s="88">
        <f t="shared" si="1806"/>
        <v>0</v>
      </c>
      <c r="BV221" s="88">
        <f t="shared" si="1806"/>
        <v>0</v>
      </c>
      <c r="BW221" s="88">
        <f t="shared" si="1806"/>
        <v>0</v>
      </c>
      <c r="BX221" s="88">
        <f t="shared" si="1806"/>
        <v>0</v>
      </c>
      <c r="BY221" s="88">
        <f t="shared" si="1806"/>
        <v>0</v>
      </c>
      <c r="BZ221" s="88">
        <f t="shared" si="1806"/>
        <v>0</v>
      </c>
      <c r="CA221" s="88">
        <f t="shared" si="1806"/>
        <v>33</v>
      </c>
      <c r="CB221" s="88">
        <f t="shared" si="1806"/>
        <v>0</v>
      </c>
      <c r="CC221" s="88">
        <f t="shared" si="1806"/>
        <v>0</v>
      </c>
      <c r="CD221" s="103">
        <f>SUM(BM221:CC221)</f>
        <v>64</v>
      </c>
      <c r="CE221" s="52"/>
      <c r="CF221" s="109">
        <f>J221</f>
        <v>64</v>
      </c>
      <c r="CG221" s="104">
        <f t="shared" si="1754"/>
        <v>1</v>
      </c>
      <c r="CH221" s="53">
        <f>Seilareal/Lwl/Lwl</f>
        <v>0.62738947162042946</v>
      </c>
      <c r="CI221" s="119">
        <f>Seilareal/Depl^0.667/K$7</f>
        <v>1.3035920108975614</v>
      </c>
      <c r="CJ221" s="53">
        <f>Seilareal/Lwl/Lwl/SApRS1</f>
        <v>0.95195013592091393</v>
      </c>
      <c r="CK221" s="209"/>
      <c r="CL221" s="209">
        <f>(ROUND(TBF/CL$6,3)*CL$6)*CL$4</f>
        <v>104</v>
      </c>
      <c r="CM221" s="110">
        <f t="shared" si="1772"/>
        <v>1.0415586643198076</v>
      </c>
      <c r="CN221" s="64">
        <f>IF(SeilBeregnet=0,"-",(SeilBeregnet)^(1/2)*StHfaktor/(Depl+DeplTillegg/1000+Vann/1000+Diesel/1000*0.84)^(1/3))</f>
        <v>3.8029477933764837</v>
      </c>
      <c r="CO221" s="64">
        <f t="shared" si="1759"/>
        <v>1.88121265118036</v>
      </c>
      <c r="CP221" s="64">
        <f t="shared" si="1760"/>
        <v>1.7827085337805899</v>
      </c>
      <c r="CQ221" s="110">
        <f t="shared" si="1761"/>
        <v>1.0201748717225139</v>
      </c>
      <c r="CR221" s="172" t="str">
        <f t="shared" si="1563"/>
        <v>-</v>
      </c>
      <c r="CS221" s="162"/>
      <c r="CT221" s="172" t="str">
        <f t="shared" si="1660"/>
        <v>-</v>
      </c>
      <c r="CU221" s="164"/>
      <c r="CV221" s="195" t="s">
        <v>145</v>
      </c>
      <c r="CW221" s="64">
        <v>1</v>
      </c>
      <c r="CX221" s="64">
        <v>0.95</v>
      </c>
      <c r="CY221" s="64">
        <v>1.03</v>
      </c>
      <c r="CZ221" s="154">
        <v>1.06</v>
      </c>
      <c r="DA221" s="64">
        <f t="shared" si="1663"/>
        <v>1.9432320747231417</v>
      </c>
      <c r="DB221" s="49">
        <f t="shared" si="1664"/>
        <v>11.988716502115656</v>
      </c>
      <c r="DC221" s="50">
        <f t="shared" si="1665"/>
        <v>0</v>
      </c>
      <c r="DE221" s="110">
        <f>IF(SeilBeregnet=0,"-",DE$7*(DG:DG+DE$6)*DL:DL*PropF+ErfaringsF+Dyp_F)</f>
        <v>1.0154558995747909</v>
      </c>
      <c r="DF221" s="144" t="str">
        <f t="shared" si="1796"/>
        <v>-</v>
      </c>
      <c r="DG221" s="110">
        <f t="shared" si="1667"/>
        <v>5.7266147675147927</v>
      </c>
      <c r="DH221" s="136">
        <f>IF(SeilBeregnet=0,DH220,(SeilBeregnet^0.5/(Depl^0.3333))^DH$3*DH$7)</f>
        <v>3.7775890368736347</v>
      </c>
      <c r="DI221" s="136">
        <f>IF(SeilBeregnet=0,DI220,(SeilBeregnet^0.5/Lwl)^DI$3*DI$7)</f>
        <v>0</v>
      </c>
      <c r="DJ221" s="136">
        <f>IF(SeilBeregnet=0,DJ220,(0.1*Loa/Depl^0.3333)^DJ$3*DJ$7)</f>
        <v>0</v>
      </c>
      <c r="DK221" s="136">
        <f>IF(SeilBeregnet=0,DK220,((Loa)/Bredde)^DK$3*DK$7)</f>
        <v>1.9490257306411576</v>
      </c>
      <c r="DL221" s="110">
        <f>IF(SeilBeregnet=0,DL220,(Lwl)^DL$3)</f>
        <v>1.7827085337805899</v>
      </c>
      <c r="DM221" s="136">
        <f>IF(SeilBeregnet=0,DM220,(Dypg/Loa)^DM$3*5*DM$7)</f>
        <v>1.9059062496562187</v>
      </c>
      <c r="DO221" s="110">
        <f t="shared" si="344"/>
        <v>1.0628149635916404</v>
      </c>
      <c r="DP221" s="110">
        <f t="shared" si="1668"/>
        <v>0.98167294461123666</v>
      </c>
      <c r="DR221" s="110">
        <f t="shared" si="1669"/>
        <v>0.99206429955281195</v>
      </c>
      <c r="DS221" s="125" t="str">
        <f t="shared" si="1797"/>
        <v>-</v>
      </c>
      <c r="DT221" s="110">
        <f t="shared" si="1671"/>
        <v>1.047466530798538</v>
      </c>
      <c r="DU221" s="125" t="str">
        <f t="shared" si="1798"/>
        <v>-</v>
      </c>
      <c r="DV221" s="110">
        <f t="shared" si="1687"/>
        <v>3.777333911832629</v>
      </c>
      <c r="DW221" s="110">
        <f t="shared" si="1688"/>
        <v>2.1614257140723043</v>
      </c>
      <c r="DX221" s="110">
        <f t="shared" si="1689"/>
        <v>1.6310844383437393</v>
      </c>
      <c r="DZ221" s="110">
        <f t="shared" si="1673"/>
        <v>1.0438113366079773</v>
      </c>
      <c r="EB221" s="110">
        <f t="shared" si="1690"/>
        <v>3.777333911832629</v>
      </c>
      <c r="EC221" s="110">
        <f t="shared" si="1691"/>
        <v>2.1615756704798308</v>
      </c>
      <c r="ED221" s="110">
        <f t="shared" si="1692"/>
        <v>1.9198778385445259</v>
      </c>
      <c r="EE221" s="110">
        <f t="shared" si="1674"/>
        <v>1.0315406228652269</v>
      </c>
      <c r="EG221" s="110">
        <f t="shared" si="1693"/>
        <v>6.1611505620182836</v>
      </c>
      <c r="EH221" s="110">
        <f t="shared" si="1694"/>
        <v>3.777333911832629</v>
      </c>
      <c r="EI221" s="110">
        <f t="shared" si="1695"/>
        <v>1.6310844383437393</v>
      </c>
      <c r="EJ221" s="110">
        <f t="shared" si="1696"/>
        <v>1.7827085337805899</v>
      </c>
      <c r="EK221" s="110">
        <f>IF(SeilBeregnet=0,"-",EK$7*(EK$4*EM:EM+EK$6)*EP:EP*PropF+ErfaringsF+Dyp_F)</f>
        <v>1.0234585980882016</v>
      </c>
      <c r="EM221" s="110">
        <f>IF(SeilBeregnet=0,EM220,(EN:EN*EO:EO)^EM$3)</f>
        <v>1.9840929075586728</v>
      </c>
      <c r="EN221" s="110">
        <f t="shared" si="1697"/>
        <v>3.777333911832629</v>
      </c>
      <c r="EO221" s="110">
        <f t="shared" si="1698"/>
        <v>1.0421701543231365</v>
      </c>
      <c r="EP221" s="110">
        <f t="shared" si="1699"/>
        <v>1.8035218860491042</v>
      </c>
      <c r="EQ221" s="110">
        <f>IF(SeilBeregnet=0,"-",EQ$7*(ES:ES+EQ$6)*EV:EV*PropF+ErfaringsF+Dyp_F)</f>
        <v>0.96435609821743129</v>
      </c>
      <c r="ES221" s="110">
        <f>(ET:ET*EU:EU)^ES$3</f>
        <v>1.9841599102713432</v>
      </c>
      <c r="ET221" s="110">
        <f t="shared" si="1700"/>
        <v>3.7775890368736347</v>
      </c>
      <c r="EU221" s="110">
        <f t="shared" si="1701"/>
        <v>1.0421701543231365</v>
      </c>
      <c r="EV221" s="110">
        <f t="shared" si="1702"/>
        <v>1.8035218860491042</v>
      </c>
      <c r="EW221" s="110">
        <f>IF(SeilBeregnet=0,"-",EW$7*(EY:EY+EW$6)*FB:FB*PropF+ErfaringsF+Dyp_F)</f>
        <v>1.0423554987040484</v>
      </c>
      <c r="EX221" s="144" t="str">
        <f t="shared" si="1788"/>
        <v>-</v>
      </c>
      <c r="EY221" s="110">
        <f>(EZ:EZ*FA:FA)^EY$3</f>
        <v>4.1029098315548778</v>
      </c>
      <c r="EZ221" s="136">
        <f t="shared" si="1703"/>
        <v>3.7775890368736347</v>
      </c>
      <c r="FA221" s="136">
        <f t="shared" si="1704"/>
        <v>1.0861186305619104</v>
      </c>
      <c r="FB221" s="110">
        <f t="shared" si="1705"/>
        <v>1.014194887410651</v>
      </c>
      <c r="FC221" s="110">
        <f>IF(SeilBeregnet=0,"-",FC$7*(FE:FE+FC$6)*FI:FI*PropF+ErfaringsF+Dyp_F)</f>
        <v>1.0144139651075412</v>
      </c>
      <c r="FD221" s="144" t="str">
        <f t="shared" si="1789"/>
        <v>-</v>
      </c>
      <c r="FE221" s="110">
        <f>(FF:FF+FG:FG+FH:FH)^FE$3+FE$7</f>
        <v>6.0186939754355837</v>
      </c>
      <c r="FF221" s="136">
        <f t="shared" si="1706"/>
        <v>3.7775890368736347</v>
      </c>
      <c r="FG221" s="136">
        <f t="shared" si="1707"/>
        <v>0.79207920792079212</v>
      </c>
      <c r="FH221" s="136">
        <f t="shared" si="1708"/>
        <v>1.9490257306411576</v>
      </c>
      <c r="FI221" s="110">
        <f t="shared" si="1709"/>
        <v>1.7827085337805899</v>
      </c>
      <c r="FJ221" s="110">
        <f>IF(SeilBeregnet=0,"-",FJ$7*(FL:FL+FJ$6)*FO:FO*PropF+ErfaringsF+Dyp_F)</f>
        <v>1.0373456338121894</v>
      </c>
      <c r="FK221" s="144" t="str">
        <f t="shared" si="1790"/>
        <v>-</v>
      </c>
      <c r="FL221" s="110">
        <f>(FM:FM*FN:FN)^FL$3</f>
        <v>7.362618232654663</v>
      </c>
      <c r="FM221" s="136">
        <f t="shared" si="1710"/>
        <v>3.7775890368736347</v>
      </c>
      <c r="FN221" s="136">
        <f t="shared" si="1711"/>
        <v>1.9490257306411576</v>
      </c>
      <c r="FO221" s="110">
        <f t="shared" si="1712"/>
        <v>1.7827085337805899</v>
      </c>
      <c r="FQ221" s="374">
        <v>1</v>
      </c>
      <c r="FR221" s="64">
        <f t="shared" si="1678"/>
        <v>1.2725844422021286</v>
      </c>
      <c r="FS221" s="479"/>
      <c r="FT221" s="18"/>
      <c r="FU221" s="481"/>
      <c r="FV221" s="504"/>
      <c r="FW221" s="18"/>
      <c r="FX221" s="18"/>
      <c r="FY221" s="18"/>
      <c r="FZ221" s="18"/>
      <c r="GB221" s="18"/>
      <c r="GC221" s="481"/>
      <c r="GD221" s="8"/>
      <c r="GE221" s="8"/>
      <c r="GF221" s="8"/>
      <c r="GG221" s="8"/>
      <c r="GI221" s="18"/>
      <c r="GJ221" s="18"/>
      <c r="GK221" s="18"/>
      <c r="GL221" s="18"/>
      <c r="GM221" s="18"/>
      <c r="GN221" s="18"/>
      <c r="GO221" s="18"/>
      <c r="GP221" s="18"/>
    </row>
    <row r="222" spans="1:198" ht="15.6" x14ac:dyDescent="0.3">
      <c r="A222" s="62" t="s">
        <v>36</v>
      </c>
      <c r="B222" s="223"/>
      <c r="C222" s="63" t="str">
        <f t="shared" si="1807"/>
        <v>Bermuda</v>
      </c>
      <c r="D222" s="63"/>
      <c r="E222" s="63"/>
      <c r="F222" s="63"/>
      <c r="G222" s="56"/>
      <c r="H222" s="209">
        <f>TBFavrundet</f>
        <v>102</v>
      </c>
      <c r="I222" s="65">
        <f>COUNTA(O222:AD222)</f>
        <v>2</v>
      </c>
      <c r="J222" s="228">
        <f>SUM(O222:AD222)</f>
        <v>60</v>
      </c>
      <c r="K222" s="119">
        <f>Seilareal/Depl^0.667/K$7</f>
        <v>1.2221175102164639</v>
      </c>
      <c r="L222" s="119">
        <f>Seilareal/Lwl/Lwl/L$7</f>
        <v>0.89245325242585671</v>
      </c>
      <c r="M222" s="95">
        <f>RiggF</f>
        <v>1</v>
      </c>
      <c r="N222" s="265">
        <f>StHfaktor</f>
        <v>1.0201748717225139</v>
      </c>
      <c r="O222" s="147"/>
      <c r="P222" s="147"/>
      <c r="Q222" s="147"/>
      <c r="R222" s="147"/>
      <c r="S222" s="147"/>
      <c r="T222" s="169">
        <v>27</v>
      </c>
      <c r="U222" s="148"/>
      <c r="V222" s="148"/>
      <c r="W222" s="148"/>
      <c r="X222" s="148"/>
      <c r="Y222" s="147"/>
      <c r="Z222" s="147"/>
      <c r="AA222" s="147"/>
      <c r="AB222" s="169">
        <v>33</v>
      </c>
      <c r="AC222" s="147"/>
      <c r="AD222" s="148"/>
      <c r="AE222" s="260">
        <f t="shared" ref="AE222" si="1811">AE221</f>
        <v>11.85</v>
      </c>
      <c r="AF222" s="375">
        <f t="shared" si="1800"/>
        <v>0</v>
      </c>
      <c r="AG222" s="377"/>
      <c r="AH222" s="375">
        <f t="shared" si="1800"/>
        <v>0</v>
      </c>
      <c r="AI222" s="377"/>
      <c r="AJ222" s="295" t="str">
        <f t="shared" ref="AJ222" si="1812" xml:space="preserve"> AJ221</f>
        <v>Lystb</v>
      </c>
      <c r="AK222" s="47">
        <f>VLOOKUP(AJ222,Skrogform!$1:$1048576,3,FALSE)</f>
        <v>0.98</v>
      </c>
      <c r="AL222" s="66">
        <f t="shared" si="1802"/>
        <v>11.7</v>
      </c>
      <c r="AM222" s="66">
        <f t="shared" si="1802"/>
        <v>10.1</v>
      </c>
      <c r="AN222" s="66">
        <f t="shared" si="1802"/>
        <v>3.08</v>
      </c>
      <c r="AO222" s="66">
        <f t="shared" si="1802"/>
        <v>1.7</v>
      </c>
      <c r="AP222" s="66">
        <f t="shared" si="1802"/>
        <v>9.5</v>
      </c>
      <c r="AQ222" s="66">
        <f t="shared" si="1802"/>
        <v>3.6</v>
      </c>
      <c r="AR222" s="66">
        <f t="shared" si="1802"/>
        <v>0</v>
      </c>
      <c r="AS222" s="284">
        <f t="shared" si="1802"/>
        <v>52</v>
      </c>
      <c r="AT222" s="284">
        <f t="shared" si="1802"/>
        <v>235</v>
      </c>
      <c r="AU222" s="284">
        <f t="shared" ref="AU222:AV222" si="1813">AU221</f>
        <v>100</v>
      </c>
      <c r="AV222" s="284">
        <f t="shared" si="1813"/>
        <v>100</v>
      </c>
      <c r="AW222" s="284"/>
      <c r="AX222" s="284">
        <f>AX221</f>
        <v>0</v>
      </c>
      <c r="AY222" s="68"/>
      <c r="AZ222" s="68"/>
      <c r="BA222" s="289"/>
      <c r="BB222" s="68"/>
      <c r="BC222" s="179"/>
      <c r="BD222" s="68"/>
      <c r="BE222" s="68"/>
      <c r="BF222" s="67" t="str">
        <f t="shared" si="1804"/>
        <v>Fast</v>
      </c>
      <c r="BG222" s="295">
        <f t="shared" si="1804"/>
        <v>2</v>
      </c>
      <c r="BH222" s="295">
        <f t="shared" si="1804"/>
        <v>50</v>
      </c>
      <c r="BI222" s="47">
        <f t="shared" si="1662"/>
        <v>0.98483025248958467</v>
      </c>
      <c r="BJ222" s="61"/>
      <c r="BK222" s="61"/>
      <c r="BM222" s="51">
        <f t="shared" si="1805"/>
        <v>0</v>
      </c>
      <c r="BN222" s="51">
        <f t="shared" si="1805"/>
        <v>0</v>
      </c>
      <c r="BO222" s="51">
        <f t="shared" si="1805"/>
        <v>0</v>
      </c>
      <c r="BP222" s="51">
        <f t="shared" si="1805"/>
        <v>0</v>
      </c>
      <c r="BQ222" s="51">
        <f t="shared" si="1805"/>
        <v>0</v>
      </c>
      <c r="BR222" s="51">
        <f t="shared" si="1805"/>
        <v>27</v>
      </c>
      <c r="BS222" s="52">
        <f>IF(COUNT(P222:T222)&gt;1,MINA(P222:T222)*BS$9,0)</f>
        <v>0</v>
      </c>
      <c r="BT222" s="88">
        <f t="shared" si="1806"/>
        <v>0</v>
      </c>
      <c r="BU222" s="88">
        <f t="shared" si="1806"/>
        <v>0</v>
      </c>
      <c r="BV222" s="88">
        <f t="shared" si="1806"/>
        <v>0</v>
      </c>
      <c r="BW222" s="88">
        <f t="shared" si="1806"/>
        <v>0</v>
      </c>
      <c r="BX222" s="88">
        <f t="shared" si="1806"/>
        <v>0</v>
      </c>
      <c r="BY222" s="88">
        <f t="shared" si="1806"/>
        <v>0</v>
      </c>
      <c r="BZ222" s="88">
        <f t="shared" si="1806"/>
        <v>0</v>
      </c>
      <c r="CA222" s="88">
        <f t="shared" si="1806"/>
        <v>33</v>
      </c>
      <c r="CB222" s="88">
        <f t="shared" si="1806"/>
        <v>0</v>
      </c>
      <c r="CC222" s="88">
        <f t="shared" si="1806"/>
        <v>0</v>
      </c>
      <c r="CD222" s="103">
        <f>SUM(BM222:CC222)</f>
        <v>60</v>
      </c>
      <c r="CE222" s="52"/>
      <c r="CF222" s="109">
        <f>J222</f>
        <v>60</v>
      </c>
      <c r="CG222" s="104">
        <f t="shared" si="1754"/>
        <v>1</v>
      </c>
      <c r="CH222" s="53">
        <f>Seilareal/Lwl/Lwl</f>
        <v>0.58817762964415254</v>
      </c>
      <c r="CI222" s="119">
        <f>Seilareal/Depl^0.667/K$7</f>
        <v>1.2221175102164639</v>
      </c>
      <c r="CJ222" s="53">
        <f>Seilareal/Lwl/Lwl/SApRS1</f>
        <v>0.89245325242585671</v>
      </c>
      <c r="CK222" s="209"/>
      <c r="CL222" s="209">
        <f>(ROUND(TBF/CL$6,3)*CL$6)*CL$4</f>
        <v>102</v>
      </c>
      <c r="CM222" s="110">
        <f t="shared" si="1772"/>
        <v>1.0194308536284309</v>
      </c>
      <c r="CN222" s="64">
        <f>IF(SeilBeregnet=0,"-",(SeilBeregnet)^(1/2)*StHfaktor/(Depl+DeplTillegg/1000+Vann/1000+Diesel/1000*0.84)^(1/3))</f>
        <v>3.6821883675608413</v>
      </c>
      <c r="CO222" s="64">
        <f t="shared" si="1759"/>
        <v>1.88121265118036</v>
      </c>
      <c r="CP222" s="64">
        <f t="shared" si="1760"/>
        <v>1.7827085337805899</v>
      </c>
      <c r="CQ222" s="110">
        <f t="shared" si="1761"/>
        <v>1.0201748717225139</v>
      </c>
      <c r="CR222" s="172" t="str">
        <f t="shared" si="1563"/>
        <v>-</v>
      </c>
      <c r="CS222" s="162"/>
      <c r="CT222" s="172" t="str">
        <f t="shared" si="1660"/>
        <v>-</v>
      </c>
      <c r="CU222" s="164"/>
      <c r="CV222" s="195" t="s">
        <v>145</v>
      </c>
      <c r="CW222" s="64">
        <v>0.98</v>
      </c>
      <c r="CX222" s="64">
        <v>0.93</v>
      </c>
      <c r="CY222" s="64">
        <v>1.01</v>
      </c>
      <c r="CZ222" s="154">
        <v>1.03</v>
      </c>
      <c r="DA222" s="64">
        <f t="shared" si="1663"/>
        <v>1.9432320747231417</v>
      </c>
      <c r="DB222" s="49">
        <f t="shared" si="1664"/>
        <v>11.988716502115656</v>
      </c>
      <c r="DC222" s="50">
        <f t="shared" si="1665"/>
        <v>0</v>
      </c>
      <c r="DE222" s="110">
        <f>IF(SeilBeregnet=0,"-",DE$7*(DG:DG+DE$6)*DL:DL*PropF+ErfaringsF+Dyp_F)</f>
        <v>0.99418536114726008</v>
      </c>
      <c r="DF222" s="144" t="str">
        <f t="shared" si="1796"/>
        <v>-</v>
      </c>
      <c r="DG222" s="110">
        <f t="shared" si="1667"/>
        <v>5.6066605877979834</v>
      </c>
      <c r="DH222" s="136">
        <f>IF(SeilBeregnet=0,DH221,(SeilBeregnet^0.5/(Depl^0.3333))^DH$3*DH$7)</f>
        <v>3.6576348571568258</v>
      </c>
      <c r="DI222" s="136">
        <f>IF(SeilBeregnet=0,DI221,(SeilBeregnet^0.5/Lwl)^DI$3*DI$7)</f>
        <v>0</v>
      </c>
      <c r="DJ222" s="136">
        <f>IF(SeilBeregnet=0,DJ221,(0.1*Loa/Depl^0.3333)^DJ$3*DJ$7)</f>
        <v>0</v>
      </c>
      <c r="DK222" s="136">
        <f>IF(SeilBeregnet=0,DK221,((Loa)/Bredde)^DK$3*DK$7)</f>
        <v>1.9490257306411576</v>
      </c>
      <c r="DL222" s="110">
        <f>IF(SeilBeregnet=0,DL221,(Lwl)^DL$3)</f>
        <v>1.7827085337805899</v>
      </c>
      <c r="DM222" s="136">
        <f>IF(SeilBeregnet=0,DM221,(Dypg/Loa)^DM$3*5*DM$7)</f>
        <v>1.9059062496562187</v>
      </c>
      <c r="DO222" s="110">
        <f t="shared" si="344"/>
        <v>1.0402355649269701</v>
      </c>
      <c r="DP222" s="110">
        <f t="shared" si="1668"/>
        <v>0.95676620862423412</v>
      </c>
      <c r="DR222" s="110">
        <f t="shared" si="1669"/>
        <v>0.97122921327328282</v>
      </c>
      <c r="DS222" s="125" t="str">
        <f t="shared" si="1797"/>
        <v>-</v>
      </c>
      <c r="DT222" s="110">
        <f t="shared" si="1671"/>
        <v>1.0213688619646746</v>
      </c>
      <c r="DU222" s="125" t="str">
        <f t="shared" si="1798"/>
        <v>-</v>
      </c>
      <c r="DV222" s="110">
        <f t="shared" si="1687"/>
        <v>3.6573878333980723</v>
      </c>
      <c r="DW222" s="110">
        <f t="shared" si="1688"/>
        <v>2.1614257140723043</v>
      </c>
      <c r="DX222" s="110">
        <f t="shared" si="1689"/>
        <v>1.6310844383437393</v>
      </c>
      <c r="DZ222" s="110">
        <f t="shared" si="1673"/>
        <v>1.0199426024012463</v>
      </c>
      <c r="EB222" s="110">
        <f t="shared" si="1690"/>
        <v>3.6573878333980723</v>
      </c>
      <c r="EC222" s="110">
        <f t="shared" si="1691"/>
        <v>2.1615756704798308</v>
      </c>
      <c r="ED222" s="110">
        <f t="shared" si="1692"/>
        <v>1.9198778385445259</v>
      </c>
      <c r="EE222" s="110">
        <f t="shared" si="1674"/>
        <v>1.0068121416640106</v>
      </c>
      <c r="EG222" s="110">
        <f t="shared" si="1693"/>
        <v>5.9655083800433202</v>
      </c>
      <c r="EH222" s="110">
        <f t="shared" si="1694"/>
        <v>3.6573878333980723</v>
      </c>
      <c r="EI222" s="110">
        <f t="shared" si="1695"/>
        <v>1.6310844383437393</v>
      </c>
      <c r="EJ222" s="110">
        <f t="shared" si="1696"/>
        <v>1.7827085337805899</v>
      </c>
      <c r="EK222" s="110">
        <f>IF(SeilBeregnet=0,"-",EK$7*(EK$4*EM:EM+EK$6)*EP:EP*PropF+ErfaringsF+Dyp_F)</f>
        <v>1.0015592426503934</v>
      </c>
      <c r="EM222" s="110">
        <f>IF(SeilBeregnet=0,EM221,(EN:EN*EO:EO)^EM$3)</f>
        <v>1.9523371744532323</v>
      </c>
      <c r="EN222" s="110">
        <f t="shared" si="1697"/>
        <v>3.6573878333980723</v>
      </c>
      <c r="EO222" s="110">
        <f t="shared" si="1698"/>
        <v>1.0421701543231365</v>
      </c>
      <c r="EP222" s="110">
        <f t="shared" si="1699"/>
        <v>1.8035218860491042</v>
      </c>
      <c r="EQ222" s="110">
        <f>IF(SeilBeregnet=0,"-",EQ$7*(ES:ES+EQ$6)*EV:EV*PropF+ErfaringsF+Dyp_F)</f>
        <v>0.94892142035686777</v>
      </c>
      <c r="ES222" s="110">
        <f>(ET:ET*EU:EU)^ES$3</f>
        <v>1.9524031047764732</v>
      </c>
      <c r="ET222" s="110">
        <f t="shared" si="1700"/>
        <v>3.6576348571568258</v>
      </c>
      <c r="EU222" s="110">
        <f t="shared" si="1701"/>
        <v>1.0421701543231365</v>
      </c>
      <c r="EV222" s="110">
        <f t="shared" si="1702"/>
        <v>1.8035218860491042</v>
      </c>
      <c r="EW222" s="110">
        <f>IF(SeilBeregnet=0,"-",EW$7*(EY:EY+EW$6)*FB:FB*PropF+ErfaringsF+Dyp_F)</f>
        <v>1.0201033703214464</v>
      </c>
      <c r="EX222" s="144" t="str">
        <f t="shared" si="1788"/>
        <v>-</v>
      </c>
      <c r="EY222" s="110">
        <f>(EZ:EZ*FA:FA)^EY$3</f>
        <v>3.9726253621506804</v>
      </c>
      <c r="EZ222" s="136">
        <f t="shared" si="1703"/>
        <v>3.6576348571568258</v>
      </c>
      <c r="FA222" s="136">
        <f t="shared" si="1704"/>
        <v>1.0861186305619104</v>
      </c>
      <c r="FB222" s="110">
        <f t="shared" si="1705"/>
        <v>1.014194887410651</v>
      </c>
      <c r="FC222" s="110">
        <f>IF(SeilBeregnet=0,"-",FC$7*(FE:FE+FC$6)*FI:FI*PropF+ErfaringsF+Dyp_F)</f>
        <v>0.98995723983452011</v>
      </c>
      <c r="FD222" s="144" t="str">
        <f t="shared" si="1789"/>
        <v>-</v>
      </c>
      <c r="FE222" s="110">
        <f>(FF:FF+FG:FG+FH:FH)^FE$3+FE$7</f>
        <v>5.8735879830865816</v>
      </c>
      <c r="FF222" s="136">
        <f t="shared" si="1706"/>
        <v>3.6576348571568258</v>
      </c>
      <c r="FG222" s="136">
        <f t="shared" si="1707"/>
        <v>0.76692739528859744</v>
      </c>
      <c r="FH222" s="136">
        <f t="shared" si="1708"/>
        <v>1.9490257306411576</v>
      </c>
      <c r="FI222" s="110">
        <f t="shared" si="1709"/>
        <v>1.7827085337805899</v>
      </c>
      <c r="FJ222" s="110">
        <f>IF(SeilBeregnet=0,"-",FJ$7*(FL:FL+FJ$6)*FO:FO*PropF+ErfaringsF+Dyp_F)</f>
        <v>1.0160015250162278</v>
      </c>
      <c r="FK222" s="144" t="str">
        <f t="shared" si="1790"/>
        <v>-</v>
      </c>
      <c r="FL222" s="110">
        <f>(FM:FM*FN:FN)^FL$3</f>
        <v>7.1288244498886488</v>
      </c>
      <c r="FM222" s="136">
        <f t="shared" si="1710"/>
        <v>3.6576348571568258</v>
      </c>
      <c r="FN222" s="136">
        <f t="shared" si="1711"/>
        <v>1.9490257306411576</v>
      </c>
      <c r="FO222" s="110">
        <f t="shared" si="1712"/>
        <v>1.7827085337805899</v>
      </c>
      <c r="FQ222" s="374">
        <v>1</v>
      </c>
      <c r="FR222" s="64">
        <f t="shared" si="1678"/>
        <v>1.2525850164851831</v>
      </c>
      <c r="FS222" s="479"/>
      <c r="FT222" s="18"/>
      <c r="FU222" s="481"/>
      <c r="FV222" s="504"/>
      <c r="FW222" s="18"/>
      <c r="FX222" s="18"/>
      <c r="FY222" s="18"/>
      <c r="FZ222" s="18"/>
      <c r="GB222" s="18"/>
      <c r="GC222" s="481"/>
      <c r="GD222" s="8"/>
      <c r="GE222" s="8"/>
      <c r="GF222" s="8"/>
      <c r="GG222" s="8"/>
      <c r="GI222" s="18"/>
      <c r="GJ222" s="18"/>
      <c r="GK222" s="18"/>
      <c r="GL222" s="18"/>
      <c r="GM222" s="18"/>
      <c r="GN222" s="18"/>
      <c r="GO222" s="18"/>
      <c r="GP222" s="18"/>
    </row>
    <row r="223" spans="1:198" ht="15.6" x14ac:dyDescent="0.3">
      <c r="A223" s="54" t="s">
        <v>53</v>
      </c>
      <c r="B223" s="223">
        <f t="shared" si="1724"/>
        <v>79.986876640419936</v>
      </c>
      <c r="C223" s="55" t="s">
        <v>41</v>
      </c>
      <c r="D223" s="55"/>
      <c r="E223" s="55"/>
      <c r="F223" s="55"/>
      <c r="G223" s="56" t="s">
        <v>30</v>
      </c>
      <c r="H223" s="209"/>
      <c r="I223" s="126" t="str">
        <f>A223</f>
        <v>Mohawk II</v>
      </c>
      <c r="J223" s="229"/>
      <c r="K223" s="119"/>
      <c r="L223" s="119"/>
      <c r="M223" s="95"/>
      <c r="N223" s="265"/>
      <c r="O223" s="169"/>
      <c r="P223" s="169"/>
      <c r="Q223" s="169">
        <v>68</v>
      </c>
      <c r="R223" s="169"/>
      <c r="S223" s="169"/>
      <c r="T223" s="169">
        <v>46</v>
      </c>
      <c r="U223" s="169"/>
      <c r="V223" s="169"/>
      <c r="W223" s="169"/>
      <c r="X223" s="169"/>
      <c r="Y223" s="169"/>
      <c r="Z223" s="169"/>
      <c r="AA223" s="169"/>
      <c r="AB223" s="169">
        <v>116.5</v>
      </c>
      <c r="AC223" s="181">
        <f>BmStor-BmStor/6</f>
        <v>97.083333333333329</v>
      </c>
      <c r="AD223" s="169">
        <v>39.5</v>
      </c>
      <c r="AE223" s="270">
        <v>23.38</v>
      </c>
      <c r="AF223" s="296"/>
      <c r="AG223" s="377"/>
      <c r="AH223" s="296"/>
      <c r="AI223" s="377"/>
      <c r="AJ223" s="298" t="s">
        <v>240</v>
      </c>
      <c r="AK223" s="47">
        <f>VLOOKUP(AJ223,Skrogform!$1:$1048576,3,FALSE)</f>
        <v>1</v>
      </c>
      <c r="AL223" s="286">
        <v>24.38</v>
      </c>
      <c r="AM223" s="286">
        <v>19.25</v>
      </c>
      <c r="AN223" s="286">
        <v>4.45</v>
      </c>
      <c r="AO223" s="286">
        <v>3.2</v>
      </c>
      <c r="AP223" s="286">
        <v>70</v>
      </c>
      <c r="AQ223" s="286">
        <v>22</v>
      </c>
      <c r="AR223" s="286"/>
      <c r="AS223" s="281">
        <v>125</v>
      </c>
      <c r="AT223" s="281">
        <v>800</v>
      </c>
      <c r="AU223" s="281">
        <f>ROUND(Depl*10,-2)</f>
        <v>700</v>
      </c>
      <c r="AV223" s="281">
        <f>ROUND(Depl*10,-2)</f>
        <v>700</v>
      </c>
      <c r="AW223" s="270">
        <f>Depl+Diesel/1000+Vann/1000</f>
        <v>71.400000000000006</v>
      </c>
      <c r="AX223" s="281"/>
      <c r="AY223" s="98">
        <f>Bredde/(Loa+Lwl)*2</f>
        <v>0.20398808159523266</v>
      </c>
      <c r="AZ223" s="98">
        <f>(Kjøl+Ballast)/Depl</f>
        <v>0.31428571428571428</v>
      </c>
      <c r="BA223" s="288">
        <f>BA$7*((Depl-Kjøl-Ballast-VektMotor/1000-VektAnnet/1000)/Loa/Lwl/Bredde)</f>
        <v>0.97787572610859674</v>
      </c>
      <c r="BB223" s="98">
        <f>BB$7*(Depl/Loa/Lwl/Lwl)</f>
        <v>0.58182319445284769</v>
      </c>
      <c r="BC223" s="178">
        <f>BC$7*(Depl/Loa/Lwl/Bredde)</f>
        <v>0.93032365791001492</v>
      </c>
      <c r="BD223" s="98">
        <f>BD$7*Bredde/(Loa+Lwl)*2</f>
        <v>0.58191438760446479</v>
      </c>
      <c r="BE223" s="98">
        <f>BE$7*(Dypg/Lwl)</f>
        <v>0.90922642574816492</v>
      </c>
      <c r="BF223" s="72" t="s">
        <v>24</v>
      </c>
      <c r="BG223" s="299"/>
      <c r="BH223" s="299"/>
      <c r="BI223" s="47">
        <f t="shared" si="1662"/>
        <v>1</v>
      </c>
      <c r="BJ223" s="61"/>
      <c r="BK223" s="61"/>
      <c r="BM223" s="214"/>
      <c r="BN223" s="214" t="str">
        <f>$A223</f>
        <v>Mohawk II</v>
      </c>
      <c r="BO223" s="10"/>
      <c r="BP223" s="10"/>
      <c r="BQ223" s="10"/>
      <c r="BR223" s="10"/>
      <c r="BS223" s="52"/>
      <c r="BT223" s="214" t="str">
        <f>$A223</f>
        <v>Mohawk II</v>
      </c>
      <c r="BU223" s="10"/>
      <c r="BV223" s="10"/>
      <c r="BW223" s="10"/>
      <c r="BX223" s="10"/>
      <c r="BY223" s="10"/>
      <c r="BZ223" s="10"/>
      <c r="CA223" s="10"/>
      <c r="CB223" s="10"/>
      <c r="CC223" s="10"/>
      <c r="CD223" s="214"/>
      <c r="CE223" s="10"/>
      <c r="CF223" s="214" t="str">
        <f>$A223</f>
        <v>Mohawk II</v>
      </c>
      <c r="CG223" s="212"/>
      <c r="CH223" s="212"/>
      <c r="CI223" s="119"/>
      <c r="CJ223" s="212"/>
      <c r="CK223" s="208"/>
      <c r="CL223" s="208" t="s">
        <v>26</v>
      </c>
      <c r="CM223" s="110" t="str">
        <f t="shared" si="1772"/>
        <v>-</v>
      </c>
      <c r="CN223" s="64" t="str">
        <f>IF(SeilBeregnet=0,"-",(SeilBeregnet)^(1/2)*StHfaktor/(Depl+DeplTillegg/1000+Vann/1000+Diesel/1000*0.84)^(1/3))</f>
        <v>-</v>
      </c>
      <c r="CO223" s="64" t="str">
        <f t="shared" si="1759"/>
        <v>-</v>
      </c>
      <c r="CP223" s="64" t="str">
        <f t="shared" si="1760"/>
        <v>-</v>
      </c>
      <c r="CQ223" s="110" t="str">
        <f t="shared" si="1761"/>
        <v>-</v>
      </c>
      <c r="CR223" s="172">
        <f t="shared" si="1563"/>
        <v>1.2941176470588236</v>
      </c>
      <c r="CS223" s="162">
        <v>1.25</v>
      </c>
      <c r="CT223" s="172" t="str">
        <f t="shared" si="1660"/>
        <v>-</v>
      </c>
      <c r="CU223" s="164">
        <v>1.57</v>
      </c>
      <c r="CV223" s="195" t="s">
        <v>145</v>
      </c>
      <c r="CW223" s="30" t="s">
        <v>26</v>
      </c>
      <c r="CX223" s="30" t="s">
        <v>26</v>
      </c>
      <c r="CY223" s="30" t="s">
        <v>26</v>
      </c>
      <c r="CZ223" s="153">
        <v>2022</v>
      </c>
      <c r="DA223" s="64" t="str">
        <f t="shared" si="1663"/>
        <v>-</v>
      </c>
      <c r="DB223" s="49">
        <f t="shared" si="1664"/>
        <v>12.955465587044534</v>
      </c>
      <c r="DC223" s="50">
        <f t="shared" si="1665"/>
        <v>0</v>
      </c>
      <c r="DE223" s="110" t="str">
        <f>IF(SeilBeregnet=0,"-",DE$7*(DG:DG+DE$6)*DL:DL*PropF+ErfaringsF+Dyp_F)</f>
        <v>-</v>
      </c>
      <c r="DF223" s="144" t="str">
        <f t="shared" si="1796"/>
        <v>-</v>
      </c>
      <c r="DG223" s="110" t="e">
        <f t="shared" si="1667"/>
        <v>#REF!</v>
      </c>
      <c r="DH223" s="136" t="e">
        <f>IF(SeilBeregnet=0,#REF!,(SeilBeregnet^0.5/(Depl^0.3333))^DH$3*DH$7)</f>
        <v>#REF!</v>
      </c>
      <c r="DI223" s="136" t="e">
        <f>IF(SeilBeregnet=0,#REF!,(SeilBeregnet^0.5/Lwl)^DI$3*DI$7)</f>
        <v>#REF!</v>
      </c>
      <c r="DJ223" s="136" t="e">
        <f>IF(SeilBeregnet=0,#REF!,(0.1*Loa/Depl^0.3333)^DJ$3*DJ$7)</f>
        <v>#REF!</v>
      </c>
      <c r="DK223" s="136" t="e">
        <f>IF(SeilBeregnet=0,#REF!,((Loa)/Bredde)^DK$3*DK$7)</f>
        <v>#REF!</v>
      </c>
      <c r="DL223" s="110" t="e">
        <f>IF(SeilBeregnet=0,#REF!,(Lwl)^DL$3)</f>
        <v>#REF!</v>
      </c>
      <c r="DM223" s="136" t="e">
        <f>IF(SeilBeregnet=0,#REF!,(Dypg/Loa)^DM$3*5*DM$7)</f>
        <v>#REF!</v>
      </c>
      <c r="DO223" s="110" t="str">
        <f t="shared" si="344"/>
        <v>-</v>
      </c>
      <c r="DP223" s="110" t="str">
        <f t="shared" si="1668"/>
        <v>-</v>
      </c>
      <c r="DR223" s="110" t="str">
        <f t="shared" si="1669"/>
        <v>-</v>
      </c>
      <c r="DS223" s="125" t="str">
        <f t="shared" si="1797"/>
        <v>-</v>
      </c>
      <c r="DT223" s="110" t="str">
        <f t="shared" si="1671"/>
        <v>-</v>
      </c>
      <c r="DU223" s="125" t="str">
        <f t="shared" si="1798"/>
        <v>-</v>
      </c>
      <c r="DV223" s="110">
        <f t="shared" si="1687"/>
        <v>3.6573878333980723</v>
      </c>
      <c r="DW223" s="110">
        <f t="shared" si="1688"/>
        <v>2.1614257140723043</v>
      </c>
      <c r="DX223" s="110">
        <f t="shared" si="1689"/>
        <v>1.6310844383437393</v>
      </c>
      <c r="DZ223" s="110" t="str">
        <f t="shared" si="1673"/>
        <v>-</v>
      </c>
      <c r="EB223" s="110">
        <f t="shared" si="1690"/>
        <v>3.6573878333980723</v>
      </c>
      <c r="EC223" s="110">
        <f t="shared" si="1691"/>
        <v>2.1615756704798308</v>
      </c>
      <c r="ED223" s="110">
        <f t="shared" si="1692"/>
        <v>1.9198778385445259</v>
      </c>
      <c r="EE223" s="110" t="str">
        <f t="shared" si="1674"/>
        <v>-</v>
      </c>
      <c r="EG223" s="110">
        <f t="shared" si="1693"/>
        <v>5.9655083800433202</v>
      </c>
      <c r="EH223" s="110">
        <f t="shared" si="1694"/>
        <v>3.6573878333980723</v>
      </c>
      <c r="EI223" s="110">
        <f t="shared" si="1695"/>
        <v>1.6310844383437393</v>
      </c>
      <c r="EJ223" s="110">
        <f t="shared" si="1696"/>
        <v>1.7827085337805899</v>
      </c>
      <c r="EK223" s="110" t="str">
        <f>IF(SeilBeregnet=0,"-",EK$7*(EK$4*EM:EM+EK$6)*EP:EP*PropF+ErfaringsF+Dyp_F)</f>
        <v>-</v>
      </c>
      <c r="EM223" s="110">
        <f>IF(SeilBeregnet=0,EM222,(EN:EN*EO:EO)^EM$3)</f>
        <v>1.9523371744532323</v>
      </c>
      <c r="EN223" s="110">
        <f t="shared" si="1697"/>
        <v>3.6573878333980723</v>
      </c>
      <c r="EO223" s="110">
        <f t="shared" si="1698"/>
        <v>1.0421701543231365</v>
      </c>
      <c r="EP223" s="110">
        <f t="shared" si="1699"/>
        <v>1.8035218860491042</v>
      </c>
      <c r="EQ223" s="110" t="str">
        <f>IF(SeilBeregnet=0,"-",EQ$7*(ES:ES+EQ$6)*EV:EV*PropF+ErfaringsF+Dyp_F)</f>
        <v>-</v>
      </c>
      <c r="ES223" s="110">
        <f>(ET:ET*EU:EU)^ES$3</f>
        <v>1.9524031047764732</v>
      </c>
      <c r="ET223" s="110">
        <f t="shared" si="1700"/>
        <v>3.6576348571568258</v>
      </c>
      <c r="EU223" s="110">
        <f t="shared" si="1701"/>
        <v>1.0421701543231365</v>
      </c>
      <c r="EV223" s="110">
        <f t="shared" si="1702"/>
        <v>1.8035218860491042</v>
      </c>
      <c r="EW223" s="110" t="str">
        <f>IF(SeilBeregnet=0,"-",EW$7*(EY:EY+EW$6)*FB:FB*PropF+ErfaringsF+Dyp_F)</f>
        <v>-</v>
      </c>
      <c r="EX223" s="144" t="str">
        <f t="shared" si="1788"/>
        <v>-</v>
      </c>
      <c r="EY223" s="110">
        <f>(EZ:EZ*FA:FA)^EY$3</f>
        <v>3.9726253621506804</v>
      </c>
      <c r="EZ223" s="136">
        <f t="shared" si="1703"/>
        <v>3.6576348571568258</v>
      </c>
      <c r="FA223" s="136">
        <f t="shared" si="1704"/>
        <v>1.0861186305619104</v>
      </c>
      <c r="FB223" s="110">
        <f t="shared" si="1705"/>
        <v>1.014194887410651</v>
      </c>
      <c r="FC223" s="110" t="str">
        <f>IF(SeilBeregnet=0,"-",FC$7*(FE:FE+FC$6)*FI:FI*PropF+ErfaringsF+Dyp_F)</f>
        <v>-</v>
      </c>
      <c r="FD223" s="144" t="str">
        <f t="shared" si="1789"/>
        <v>-</v>
      </c>
      <c r="FE223" s="110">
        <f>(FF:FF+FG:FG+FH:FH)^FE$3+FE$7</f>
        <v>5.8735879830865816</v>
      </c>
      <c r="FF223" s="136">
        <f t="shared" si="1706"/>
        <v>3.6576348571568258</v>
      </c>
      <c r="FG223" s="136">
        <f t="shared" si="1707"/>
        <v>0.76692739528859744</v>
      </c>
      <c r="FH223" s="136">
        <f t="shared" si="1708"/>
        <v>1.9490257306411576</v>
      </c>
      <c r="FI223" s="110">
        <f t="shared" si="1709"/>
        <v>1.7827085337805899</v>
      </c>
      <c r="FJ223" s="110" t="str">
        <f>IF(SeilBeregnet=0,"-",FJ$7*(FL:FL+FJ$6)*FO:FO*PropF+ErfaringsF+Dyp_F)</f>
        <v>-</v>
      </c>
      <c r="FK223" s="144" t="str">
        <f t="shared" si="1790"/>
        <v>-</v>
      </c>
      <c r="FL223" s="110">
        <f>(FM:FM*FN:FN)^FL$3</f>
        <v>7.1288244498886488</v>
      </c>
      <c r="FM223" s="136">
        <f t="shared" si="1710"/>
        <v>3.6576348571568258</v>
      </c>
      <c r="FN223" s="136">
        <f t="shared" si="1711"/>
        <v>1.9490257306411576</v>
      </c>
      <c r="FO223" s="110">
        <f t="shared" si="1712"/>
        <v>1.7827085337805899</v>
      </c>
      <c r="FQ223" s="374">
        <v>1</v>
      </c>
      <c r="FR223" s="64" t="str">
        <f t="shared" si="1678"/>
        <v>-</v>
      </c>
      <c r="FS223" s="480"/>
      <c r="FT223" s="59"/>
      <c r="FU223" s="475"/>
      <c r="FV223" s="77"/>
      <c r="FW223" s="59"/>
      <c r="FX223" s="59"/>
      <c r="FY223" s="59"/>
      <c r="FZ223" s="59"/>
      <c r="GB223" s="59" t="s">
        <v>522</v>
      </c>
      <c r="GC223" s="475" t="s">
        <v>522</v>
      </c>
      <c r="GD223" s="60" t="s">
        <v>522</v>
      </c>
      <c r="GE223" s="60" t="s">
        <v>522</v>
      </c>
      <c r="GF223" s="60" t="s">
        <v>522</v>
      </c>
      <c r="GG223" s="60" t="s">
        <v>522</v>
      </c>
      <c r="GI223" s="59"/>
      <c r="GJ223" s="59"/>
      <c r="GK223" s="59"/>
      <c r="GL223" s="59"/>
      <c r="GM223" s="59"/>
      <c r="GN223" s="59"/>
      <c r="GO223" s="59"/>
      <c r="GP223" s="59"/>
    </row>
    <row r="224" spans="1:198" ht="15.6" x14ac:dyDescent="0.3">
      <c r="A224" s="62" t="s">
        <v>67</v>
      </c>
      <c r="B224" s="223"/>
      <c r="C224" s="63" t="str">
        <f>C223</f>
        <v>Bermuda</v>
      </c>
      <c r="D224" s="63"/>
      <c r="E224" s="63"/>
      <c r="F224" s="63"/>
      <c r="G224" s="56"/>
      <c r="H224" s="209">
        <f>TBFavrundet</f>
        <v>136</v>
      </c>
      <c r="I224" s="65">
        <f>COUNTA(O224:AD224)</f>
        <v>4</v>
      </c>
      <c r="J224" s="228">
        <f>SUM(O224:AD224)</f>
        <v>270</v>
      </c>
      <c r="K224" s="119">
        <f>Seilareal/Depl^0.667/K$7</f>
        <v>1.4513987089377449</v>
      </c>
      <c r="L224" s="119">
        <f>Seilareal/Lwl/Lwl/L$7</f>
        <v>1.1055522435751792</v>
      </c>
      <c r="M224" s="95">
        <f>RiggF</f>
        <v>0.9123148148148148</v>
      </c>
      <c r="N224" s="265">
        <f>StHfaktor</f>
        <v>1.0245937954416011</v>
      </c>
      <c r="O224" s="147"/>
      <c r="P224" s="147"/>
      <c r="Q224" s="169">
        <v>68</v>
      </c>
      <c r="R224" s="147"/>
      <c r="S224" s="147"/>
      <c r="T224" s="169">
        <v>46</v>
      </c>
      <c r="U224" s="148"/>
      <c r="V224" s="148"/>
      <c r="W224" s="148"/>
      <c r="X224" s="148"/>
      <c r="Y224" s="147"/>
      <c r="Z224" s="147"/>
      <c r="AA224" s="147"/>
      <c r="AB224" s="169">
        <v>116.5</v>
      </c>
      <c r="AC224" s="147"/>
      <c r="AD224" s="169">
        <v>39.5</v>
      </c>
      <c r="AE224" s="260">
        <f t="shared" ref="AE224" si="1814">AE223</f>
        <v>23.38</v>
      </c>
      <c r="AF224" s="375">
        <f t="shared" ref="AF224:AH227" si="1815" xml:space="preserve"> AF223</f>
        <v>0</v>
      </c>
      <c r="AG224" s="377"/>
      <c r="AH224" s="375">
        <f t="shared" si="1815"/>
        <v>0</v>
      </c>
      <c r="AI224" s="377"/>
      <c r="AJ224" s="295" t="str">
        <f t="shared" ref="AJ224" si="1816" xml:space="preserve"> AJ223</f>
        <v>Meter</v>
      </c>
      <c r="AK224" s="47">
        <f>VLOOKUP(AJ224,Skrogform!$1:$1048576,3,FALSE)</f>
        <v>1</v>
      </c>
      <c r="AL224" s="66">
        <f t="shared" ref="AL224:AT224" si="1817">AL223</f>
        <v>24.38</v>
      </c>
      <c r="AM224" s="66">
        <f t="shared" si="1817"/>
        <v>19.25</v>
      </c>
      <c r="AN224" s="66">
        <f t="shared" si="1817"/>
        <v>4.45</v>
      </c>
      <c r="AO224" s="66">
        <f t="shared" si="1817"/>
        <v>3.2</v>
      </c>
      <c r="AP224" s="66">
        <f t="shared" si="1817"/>
        <v>70</v>
      </c>
      <c r="AQ224" s="66">
        <f t="shared" si="1817"/>
        <v>22</v>
      </c>
      <c r="AR224" s="66">
        <f t="shared" si="1817"/>
        <v>0</v>
      </c>
      <c r="AS224" s="284">
        <f t="shared" si="1817"/>
        <v>125</v>
      </c>
      <c r="AT224" s="284">
        <f t="shared" si="1817"/>
        <v>800</v>
      </c>
      <c r="AU224" s="284">
        <f t="shared" ref="AU224:AV224" si="1818">AU223</f>
        <v>700</v>
      </c>
      <c r="AV224" s="284">
        <f t="shared" si="1818"/>
        <v>700</v>
      </c>
      <c r="AW224" s="284"/>
      <c r="AX224" s="284">
        <f>AX223</f>
        <v>0</v>
      </c>
      <c r="AY224" s="68"/>
      <c r="AZ224" s="68"/>
      <c r="BA224" s="289"/>
      <c r="BB224" s="68"/>
      <c r="BC224" s="179"/>
      <c r="BD224" s="68"/>
      <c r="BE224" s="68"/>
      <c r="BF224" s="67" t="str">
        <f t="shared" ref="BF224:BH224" si="1819" xml:space="preserve"> BF223</f>
        <v>Seilrett</v>
      </c>
      <c r="BG224" s="295">
        <f t="shared" si="1819"/>
        <v>0</v>
      </c>
      <c r="BH224" s="295">
        <f t="shared" si="1819"/>
        <v>0</v>
      </c>
      <c r="BI224" s="47">
        <f t="shared" si="1662"/>
        <v>1</v>
      </c>
      <c r="BJ224" s="61"/>
      <c r="BK224" s="61"/>
      <c r="BM224" s="51">
        <f t="shared" ref="BM224:BR227" si="1820">IF(O224=0,0,O224*BM$9)</f>
        <v>0</v>
      </c>
      <c r="BN224" s="51">
        <f t="shared" si="1820"/>
        <v>0</v>
      </c>
      <c r="BO224" s="51">
        <f t="shared" si="1820"/>
        <v>68</v>
      </c>
      <c r="BP224" s="51">
        <f t="shared" si="1820"/>
        <v>0</v>
      </c>
      <c r="BQ224" s="51">
        <f t="shared" si="1820"/>
        <v>0</v>
      </c>
      <c r="BR224" s="51">
        <f t="shared" si="1820"/>
        <v>46</v>
      </c>
      <c r="BS224" s="52">
        <f>IF(COUNT(P224:T224)&gt;1,MINA(P224:T224)*BS$9,0)</f>
        <v>-13.799999999999999</v>
      </c>
      <c r="BT224" s="88">
        <f t="shared" ref="BT224:CC227" si="1821">IF(U224=0,0,U224*BT$9)</f>
        <v>0</v>
      </c>
      <c r="BU224" s="88">
        <f t="shared" si="1821"/>
        <v>0</v>
      </c>
      <c r="BV224" s="88">
        <f t="shared" si="1821"/>
        <v>0</v>
      </c>
      <c r="BW224" s="88">
        <f t="shared" si="1821"/>
        <v>0</v>
      </c>
      <c r="BX224" s="88">
        <f t="shared" si="1821"/>
        <v>0</v>
      </c>
      <c r="BY224" s="88">
        <f t="shared" si="1821"/>
        <v>0</v>
      </c>
      <c r="BZ224" s="88">
        <f t="shared" si="1821"/>
        <v>0</v>
      </c>
      <c r="CA224" s="88">
        <f t="shared" si="1821"/>
        <v>116.5</v>
      </c>
      <c r="CB224" s="88">
        <f t="shared" si="1821"/>
        <v>0</v>
      </c>
      <c r="CC224" s="88">
        <f t="shared" si="1821"/>
        <v>29.625</v>
      </c>
      <c r="CD224" s="103">
        <f>SUM(BM224:CC224)</f>
        <v>246.32499999999999</v>
      </c>
      <c r="CE224" s="52"/>
      <c r="CF224" s="109">
        <f>J224</f>
        <v>270</v>
      </c>
      <c r="CG224" s="104">
        <f t="shared" ref="CG224:CG226" si="1822">CD224/CF224</f>
        <v>0.9123148148148148</v>
      </c>
      <c r="CH224" s="53">
        <f>Seilareal/Lwl/Lwl</f>
        <v>0.72862202732332604</v>
      </c>
      <c r="CI224" s="119">
        <f>Seilareal/Depl^0.667/K$7</f>
        <v>1.4513987089377449</v>
      </c>
      <c r="CJ224" s="53">
        <f>Seilareal/Lwl/Lwl/SApRS1</f>
        <v>1.1055522435751792</v>
      </c>
      <c r="CK224" s="209"/>
      <c r="CL224" s="209">
        <f>(ROUND(TBF/CL$6,3)*CL$6)*CL$4</f>
        <v>136</v>
      </c>
      <c r="CM224" s="110">
        <f t="shared" si="1772"/>
        <v>1.3582598995479123</v>
      </c>
      <c r="CN224" s="64">
        <f>IF(SeilBeregnet=0,"-",(SeilBeregnet)^(1/2)*StHfaktor/(Depl+DeplTillegg/1000+Vann/1000+Diesel/1000*0.84)^(1/3))</f>
        <v>3.8746122897279358</v>
      </c>
      <c r="CO224" s="64">
        <f t="shared" si="1759"/>
        <v>2.214101892644337</v>
      </c>
      <c r="CP224" s="64">
        <f t="shared" si="1760"/>
        <v>2.0946317561079946</v>
      </c>
      <c r="CQ224" s="110">
        <f t="shared" si="1761"/>
        <v>1.0245937954416011</v>
      </c>
      <c r="CR224" s="172">
        <f t="shared" si="1563"/>
        <v>1.2941176470588236</v>
      </c>
      <c r="CS224" s="163">
        <f>CS223</f>
        <v>1.25</v>
      </c>
      <c r="CT224" s="172">
        <f t="shared" si="1660"/>
        <v>1.2119298245614036</v>
      </c>
      <c r="CU224" s="163">
        <f>CU223</f>
        <v>1.57</v>
      </c>
      <c r="CV224" s="195" t="s">
        <v>145</v>
      </c>
      <c r="CW224" s="64">
        <v>1.41</v>
      </c>
      <c r="CX224" s="64">
        <v>1.18</v>
      </c>
      <c r="CY224" s="64">
        <v>1.32</v>
      </c>
      <c r="CZ224" s="154">
        <v>1.37</v>
      </c>
      <c r="DA224" s="64">
        <f t="shared" si="1663"/>
        <v>1.9052944181583571</v>
      </c>
      <c r="DB224" s="49">
        <f t="shared" si="1664"/>
        <v>12.955465587044534</v>
      </c>
      <c r="DC224" s="50">
        <f t="shared" si="1665"/>
        <v>0</v>
      </c>
      <c r="DE224" s="110">
        <f>IF(SeilBeregnet=0,"-",DE$7*(DG:DG+DE$6)*DL:DL*PropF+ErfaringsF+Dyp_F)</f>
        <v>1.3009551157175478</v>
      </c>
      <c r="DF224" s="145">
        <f t="shared" si="1796"/>
        <v>-5.7304783830364414</v>
      </c>
      <c r="DG224" s="110">
        <f t="shared" si="1667"/>
        <v>6.1494072561514335</v>
      </c>
      <c r="DH224" s="136">
        <f>IF(SeilBeregnet=0,DH223,(SeilBeregnet^0.5/(Depl^0.3333))^DH$3*DH$7)</f>
        <v>3.8087552774512128</v>
      </c>
      <c r="DI224" s="136">
        <f>IF(SeilBeregnet=0,DI223,(SeilBeregnet^0.5/Lwl)^DI$3*DI$7)</f>
        <v>0</v>
      </c>
      <c r="DJ224" s="136">
        <f>IF(SeilBeregnet=0,DJ223,(0.1*Loa/Depl^0.3333)^DJ$3*DJ$7)</f>
        <v>0</v>
      </c>
      <c r="DK224" s="136">
        <f>IF(SeilBeregnet=0,DK223,((Loa)/Bredde)^DK$3*DK$7)</f>
        <v>2.3406519787002207</v>
      </c>
      <c r="DL224" s="110">
        <f>IF(SeilBeregnet=0,DL223,(Lwl)^DL$3)</f>
        <v>2.0946317561079946</v>
      </c>
      <c r="DM224" s="136">
        <f>IF(SeilBeregnet=0,DM223,(Dypg/Loa)^DM$3*5*DM$7)</f>
        <v>1.8114574736479772</v>
      </c>
      <c r="DO224" s="110">
        <f t="shared" si="344"/>
        <v>1.3582598995479123</v>
      </c>
      <c r="DP224" s="110">
        <f t="shared" si="1668"/>
        <v>1.3132356609699809</v>
      </c>
      <c r="DQ224" s="125">
        <f>DP224-DO224</f>
        <v>-4.5024238577931364E-2</v>
      </c>
      <c r="DR224" s="110">
        <f t="shared" si="1669"/>
        <v>1.3406553400007919</v>
      </c>
      <c r="DS224" s="125">
        <f t="shared" si="1797"/>
        <v>-1.7604559547120369E-2</v>
      </c>
      <c r="DT224" s="110">
        <f t="shared" si="1671"/>
        <v>1.3572769973222409</v>
      </c>
      <c r="DU224" s="125">
        <f t="shared" si="1798"/>
        <v>-9.8290222567132268E-4</v>
      </c>
      <c r="DV224" s="110">
        <f t="shared" si="1687"/>
        <v>3.8082698640257875</v>
      </c>
      <c r="DW224" s="110">
        <f t="shared" si="1688"/>
        <v>2.6797900088404343</v>
      </c>
      <c r="DX224" s="110">
        <f t="shared" si="1689"/>
        <v>1.7695233609798884</v>
      </c>
      <c r="DZ224" s="110">
        <f t="shared" si="1673"/>
        <v>1.3556618976139747</v>
      </c>
      <c r="EB224" s="110">
        <f t="shared" si="1690"/>
        <v>3.8082698640257875</v>
      </c>
      <c r="EC224" s="110">
        <f t="shared" si="1691"/>
        <v>2.6800277846463949</v>
      </c>
      <c r="ED224" s="110">
        <f t="shared" si="1692"/>
        <v>2.1401391899601916</v>
      </c>
      <c r="EE224" s="110">
        <f t="shared" si="1674"/>
        <v>1.3178131051148259</v>
      </c>
      <c r="EG224" s="110">
        <f t="shared" si="1693"/>
        <v>6.7388224893093343</v>
      </c>
      <c r="EH224" s="110">
        <f t="shared" si="1694"/>
        <v>3.8082698640257875</v>
      </c>
      <c r="EI224" s="110">
        <f t="shared" si="1695"/>
        <v>1.7695233609798884</v>
      </c>
      <c r="EJ224" s="110">
        <f t="shared" si="1696"/>
        <v>2.0946317561079946</v>
      </c>
      <c r="EK224" s="110">
        <f>IF(SeilBeregnet=0,"-",EK$7*(EK$4*EM:EM+EK$6)*EP:EP*PropF+ErfaringsF+Dyp_F)</f>
        <v>1.305785788901799</v>
      </c>
      <c r="EM224" s="110">
        <f>IF(SeilBeregnet=0,EM223,(EN:EN*EO:EO)^EM$3)</f>
        <v>2.0750238939067422</v>
      </c>
      <c r="EN224" s="110">
        <f t="shared" si="1697"/>
        <v>3.8082698640257875</v>
      </c>
      <c r="EO224" s="110">
        <f t="shared" si="1698"/>
        <v>1.1306247493007873</v>
      </c>
      <c r="EP224" s="110">
        <f t="shared" si="1699"/>
        <v>2.1352975404230423</v>
      </c>
      <c r="EQ224" s="110">
        <f>IF(SeilBeregnet=0,"-",EQ$7*(ES:ES+EQ$6)*EV:EV*PropF+ErfaringsF+Dyp_F)</f>
        <v>1.212515058650518</v>
      </c>
      <c r="ES224" s="110">
        <f>(ET:ET*EU:EU)^ES$3</f>
        <v>2.0751561340574658</v>
      </c>
      <c r="ET224" s="110">
        <f t="shared" si="1700"/>
        <v>3.8087552774512128</v>
      </c>
      <c r="EU224" s="110">
        <f t="shared" si="1701"/>
        <v>1.1306247493007873</v>
      </c>
      <c r="EV224" s="110">
        <f t="shared" si="1702"/>
        <v>2.1352975404230423</v>
      </c>
      <c r="EW224" s="110">
        <f>IF(SeilBeregnet=0,"-",EW$7*(EY:EY+EW$6)*FB:FB*PropF+ErfaringsF+Dyp_F)</f>
        <v>1.4103731825511885</v>
      </c>
      <c r="EX224" s="144">
        <f t="shared" si="1788"/>
        <v>5.2113283003276223</v>
      </c>
      <c r="EY224" s="110">
        <f>(EZ:EZ*FA:FA)^EY$3</f>
        <v>4.8687788092431505</v>
      </c>
      <c r="EZ224" s="136">
        <f t="shared" si="1703"/>
        <v>3.8087552774512128</v>
      </c>
      <c r="FA224" s="136">
        <f t="shared" si="1704"/>
        <v>1.2783123237314677</v>
      </c>
      <c r="FB224" s="110">
        <f t="shared" si="1705"/>
        <v>1.2007660485571867</v>
      </c>
      <c r="FC224" s="110">
        <f>IF(SeilBeregnet=0,"-",FC$7*(FE:FE+FC$6)*FI:FI*PropF+ErfaringsF+Dyp_F)</f>
        <v>1.2999556780668464</v>
      </c>
      <c r="FD224" s="144">
        <f t="shared" si="1789"/>
        <v>-5.8304221481065843</v>
      </c>
      <c r="FE224" s="110">
        <f>(FF:FF+FG:FG+FH:FH)^FE$3+FE$7</f>
        <v>6.4647186506060157</v>
      </c>
      <c r="FF224" s="136">
        <f t="shared" si="1706"/>
        <v>3.8087552774512128</v>
      </c>
      <c r="FG224" s="136">
        <f t="shared" si="1707"/>
        <v>0.81531139445458201</v>
      </c>
      <c r="FH224" s="136">
        <f t="shared" si="1708"/>
        <v>2.3406519787002207</v>
      </c>
      <c r="FI224" s="110">
        <f t="shared" si="1709"/>
        <v>2.0946317561079946</v>
      </c>
      <c r="FJ224" s="110">
        <f>IF(SeilBeregnet=0,"-",FJ$7*(FL:FL+FJ$6)*FO:FO*PropF+ErfaringsF+Dyp_F)</f>
        <v>1.4067095899399029</v>
      </c>
      <c r="FK224" s="144">
        <f t="shared" si="1790"/>
        <v>4.8449690391990652</v>
      </c>
      <c r="FL224" s="110">
        <f>(FM:FM*FN:FN)^FL$3</f>
        <v>8.9149705765510898</v>
      </c>
      <c r="FM224" s="136">
        <f t="shared" si="1710"/>
        <v>3.8087552774512128</v>
      </c>
      <c r="FN224" s="136">
        <f t="shared" si="1711"/>
        <v>2.3406519787002207</v>
      </c>
      <c r="FO224" s="110">
        <f t="shared" si="1712"/>
        <v>2.0946317561079946</v>
      </c>
      <c r="FQ224" s="374">
        <v>1</v>
      </c>
      <c r="FR224" s="64">
        <f t="shared" si="1678"/>
        <v>1.5595269743020723</v>
      </c>
      <c r="FS224" s="479"/>
      <c r="FT224" s="18"/>
      <c r="FU224" s="481"/>
      <c r="FV224" s="504"/>
      <c r="FW224" s="18"/>
      <c r="FX224" s="18"/>
      <c r="FY224" s="18"/>
      <c r="FZ224" s="18"/>
      <c r="GB224" s="18"/>
      <c r="GC224" s="481"/>
      <c r="GD224" s="8"/>
      <c r="GE224" s="8"/>
      <c r="GF224" s="8"/>
      <c r="GG224" s="8"/>
      <c r="GI224" s="18"/>
      <c r="GJ224" s="18"/>
      <c r="GK224" s="18"/>
      <c r="GL224" s="18"/>
      <c r="GM224" s="18"/>
      <c r="GN224" s="18"/>
      <c r="GO224" s="18"/>
      <c r="GP224" s="18"/>
    </row>
    <row r="225" spans="1:198" ht="15.6" x14ac:dyDescent="0.3">
      <c r="A225" s="62" t="s">
        <v>149</v>
      </c>
      <c r="B225" s="223"/>
      <c r="C225" s="63" t="str">
        <f>C224</f>
        <v>Bermuda</v>
      </c>
      <c r="D225" s="63"/>
      <c r="E225" s="63"/>
      <c r="F225" s="63"/>
      <c r="G225" s="56"/>
      <c r="H225" s="209">
        <f>TBFavrundet</f>
        <v>131.5</v>
      </c>
      <c r="I225" s="65">
        <f>COUNTA(O225:AD225)</f>
        <v>4</v>
      </c>
      <c r="J225" s="228">
        <f>SUM(O225:AD225)</f>
        <v>250.5</v>
      </c>
      <c r="K225" s="119">
        <f>Seilareal/Depl^0.667/K$7</f>
        <v>1.3465754688477969</v>
      </c>
      <c r="L225" s="119">
        <f>Seilareal/Lwl/Lwl/L$7</f>
        <v>1.0257068037614163</v>
      </c>
      <c r="M225" s="95">
        <f>RiggF</f>
        <v>0.88612774451097798</v>
      </c>
      <c r="N225" s="265">
        <f>StHfaktor</f>
        <v>1.0245937954416011</v>
      </c>
      <c r="O225" s="147"/>
      <c r="P225" s="147"/>
      <c r="Q225" s="169">
        <v>68</v>
      </c>
      <c r="R225" s="147"/>
      <c r="S225" s="147"/>
      <c r="T225" s="169">
        <v>46</v>
      </c>
      <c r="U225" s="148"/>
      <c r="V225" s="148"/>
      <c r="W225" s="148"/>
      <c r="X225" s="148"/>
      <c r="Y225" s="147"/>
      <c r="Z225" s="147"/>
      <c r="AA225" s="147"/>
      <c r="AB225" s="148"/>
      <c r="AC225" s="181">
        <v>97</v>
      </c>
      <c r="AD225" s="169">
        <v>39.5</v>
      </c>
      <c r="AE225" s="260">
        <f t="shared" ref="AE225" si="1823">AE224</f>
        <v>23.38</v>
      </c>
      <c r="AF225" s="375">
        <f t="shared" si="1815"/>
        <v>0</v>
      </c>
      <c r="AG225" s="377"/>
      <c r="AH225" s="375">
        <f t="shared" si="1815"/>
        <v>0</v>
      </c>
      <c r="AI225" s="377"/>
      <c r="AJ225" s="295" t="str">
        <f t="shared" ref="AJ225" si="1824" xml:space="preserve"> AJ224</f>
        <v>Meter</v>
      </c>
      <c r="AK225" s="47">
        <f>VLOOKUP(AJ225,Skrogform!$1:$1048576,3,FALSE)</f>
        <v>1</v>
      </c>
      <c r="AL225" s="66">
        <f t="shared" ref="AL225:AT225" si="1825">AL224</f>
        <v>24.38</v>
      </c>
      <c r="AM225" s="66">
        <f t="shared" si="1825"/>
        <v>19.25</v>
      </c>
      <c r="AN225" s="66">
        <f t="shared" si="1825"/>
        <v>4.45</v>
      </c>
      <c r="AO225" s="66">
        <f t="shared" si="1825"/>
        <v>3.2</v>
      </c>
      <c r="AP225" s="66">
        <f t="shared" si="1825"/>
        <v>70</v>
      </c>
      <c r="AQ225" s="66">
        <f t="shared" si="1825"/>
        <v>22</v>
      </c>
      <c r="AR225" s="66">
        <f t="shared" si="1825"/>
        <v>0</v>
      </c>
      <c r="AS225" s="284">
        <f t="shared" si="1825"/>
        <v>125</v>
      </c>
      <c r="AT225" s="284">
        <f t="shared" si="1825"/>
        <v>800</v>
      </c>
      <c r="AU225" s="284">
        <f t="shared" ref="AU225:AV225" si="1826">AU224</f>
        <v>700</v>
      </c>
      <c r="AV225" s="284">
        <f t="shared" si="1826"/>
        <v>700</v>
      </c>
      <c r="AW225" s="284"/>
      <c r="AX225" s="284">
        <f>AX224</f>
        <v>0</v>
      </c>
      <c r="AY225" s="68"/>
      <c r="AZ225" s="68"/>
      <c r="BA225" s="289"/>
      <c r="BB225" s="68"/>
      <c r="BC225" s="179"/>
      <c r="BD225" s="68"/>
      <c r="BE225" s="68"/>
      <c r="BF225" s="67" t="str">
        <f t="shared" ref="BF225:BH225" si="1827" xml:space="preserve"> BF224</f>
        <v>Seilrett</v>
      </c>
      <c r="BG225" s="295">
        <f t="shared" si="1827"/>
        <v>0</v>
      </c>
      <c r="BH225" s="295">
        <f t="shared" si="1827"/>
        <v>0</v>
      </c>
      <c r="BI225" s="47">
        <f t="shared" si="1662"/>
        <v>1</v>
      </c>
      <c r="BJ225" s="61"/>
      <c r="BK225" s="61"/>
      <c r="BM225" s="51">
        <f t="shared" si="1820"/>
        <v>0</v>
      </c>
      <c r="BN225" s="51">
        <f t="shared" si="1820"/>
        <v>0</v>
      </c>
      <c r="BO225" s="51">
        <f t="shared" si="1820"/>
        <v>68</v>
      </c>
      <c r="BP225" s="51">
        <f t="shared" si="1820"/>
        <v>0</v>
      </c>
      <c r="BQ225" s="51">
        <f t="shared" si="1820"/>
        <v>0</v>
      </c>
      <c r="BR225" s="51">
        <f t="shared" si="1820"/>
        <v>46</v>
      </c>
      <c r="BS225" s="52">
        <f>IF(COUNT(P225:T225)&gt;1,MINA(P225:T225)*BS$9,0)</f>
        <v>-13.799999999999999</v>
      </c>
      <c r="BT225" s="88">
        <f t="shared" si="1821"/>
        <v>0</v>
      </c>
      <c r="BU225" s="88">
        <f t="shared" si="1821"/>
        <v>0</v>
      </c>
      <c r="BV225" s="88">
        <f t="shared" si="1821"/>
        <v>0</v>
      </c>
      <c r="BW225" s="88">
        <f t="shared" si="1821"/>
        <v>0</v>
      </c>
      <c r="BX225" s="88">
        <f t="shared" si="1821"/>
        <v>0</v>
      </c>
      <c r="BY225" s="88">
        <f t="shared" si="1821"/>
        <v>0</v>
      </c>
      <c r="BZ225" s="88">
        <f t="shared" si="1821"/>
        <v>0</v>
      </c>
      <c r="CA225" s="88">
        <f t="shared" si="1821"/>
        <v>0</v>
      </c>
      <c r="CB225" s="88">
        <f t="shared" si="1821"/>
        <v>92.149999999999991</v>
      </c>
      <c r="CC225" s="88">
        <f t="shared" si="1821"/>
        <v>29.625</v>
      </c>
      <c r="CD225" s="103">
        <f>SUM(BM225:CC225)</f>
        <v>221.97499999999999</v>
      </c>
      <c r="CE225" s="52"/>
      <c r="CF225" s="109">
        <f>J225</f>
        <v>250.5</v>
      </c>
      <c r="CG225" s="104">
        <f t="shared" ref="CG225" si="1828">CD225/CF225</f>
        <v>0.88612774451097798</v>
      </c>
      <c r="CH225" s="53">
        <f>Seilareal/Lwl/Lwl</f>
        <v>0.67599932534997476</v>
      </c>
      <c r="CI225" s="119">
        <f>Seilareal/Depl^0.667/K$7</f>
        <v>1.3465754688477969</v>
      </c>
      <c r="CJ225" s="53">
        <f>Seilareal/Lwl/Lwl/SApRS1</f>
        <v>1.0257068037614163</v>
      </c>
      <c r="CK225" s="209"/>
      <c r="CL225" s="209">
        <f>(ROUND(TBF/CL$6,3)*CL$6)*CL$4</f>
        <v>131.5</v>
      </c>
      <c r="CM225" s="110">
        <f t="shared" si="1772"/>
        <v>1.3144270093799797</v>
      </c>
      <c r="CN225" s="64">
        <f>IF(SeilBeregnet=0,"-",(SeilBeregnet)^(1/2)*StHfaktor/(Depl+DeplTillegg/1000+Vann/1000+Diesel/1000*0.84)^(1/3))</f>
        <v>3.678121220449746</v>
      </c>
      <c r="CO225" s="64">
        <f t="shared" si="1759"/>
        <v>2.214101892644337</v>
      </c>
      <c r="CP225" s="64">
        <f t="shared" si="1760"/>
        <v>2.0946317561079946</v>
      </c>
      <c r="CQ225" s="110">
        <f t="shared" si="1761"/>
        <v>1.0245937954416011</v>
      </c>
      <c r="CR225" s="172">
        <f t="shared" si="1563"/>
        <v>1.2941176470588236</v>
      </c>
      <c r="CS225" s="163">
        <f>CS224</f>
        <v>1.25</v>
      </c>
      <c r="CT225" s="172">
        <f t="shared" si="1660"/>
        <v>1.2119298245614036</v>
      </c>
      <c r="CU225" s="163">
        <f>CU224</f>
        <v>1.57</v>
      </c>
      <c r="CV225" s="195" t="s">
        <v>145</v>
      </c>
      <c r="CW225" s="64">
        <v>1.41</v>
      </c>
      <c r="CX225" s="64">
        <v>1.18</v>
      </c>
      <c r="CY225" s="64">
        <v>1.32</v>
      </c>
      <c r="CZ225" s="154">
        <v>1.37</v>
      </c>
      <c r="DA225" s="64">
        <f t="shared" si="1663"/>
        <v>1.9052944181583571</v>
      </c>
      <c r="DB225" s="49">
        <f t="shared" si="1664"/>
        <v>12.955465587044534</v>
      </c>
      <c r="DC225" s="50">
        <f t="shared" si="1665"/>
        <v>0</v>
      </c>
      <c r="DE225" s="110">
        <f>IF(SeilBeregnet=0,"-",DE$7*(DG:DG+DE$6)*DL:DL*PropF+ErfaringsF+Dyp_F)</f>
        <v>1.2600924503999529</v>
      </c>
      <c r="DF225" s="145">
        <f t="shared" ref="DF225" si="1829">IF($DQ225=0,"-",(DE225-$DO225)*100)</f>
        <v>-5.4334558980027037</v>
      </c>
      <c r="DG225" s="110">
        <f t="shared" si="1667"/>
        <v>5.9562559570990352</v>
      </c>
      <c r="DH225" s="136">
        <f>IF(SeilBeregnet=0,DH224,(SeilBeregnet^0.5/(Depl^0.3333))^DH$3*DH$7)</f>
        <v>3.615603978398815</v>
      </c>
      <c r="DI225" s="136">
        <f>IF(SeilBeregnet=0,DI224,(SeilBeregnet^0.5/Lwl)^DI$3*DI$7)</f>
        <v>0</v>
      </c>
      <c r="DJ225" s="136">
        <f>IF(SeilBeregnet=0,DJ224,(0.1*Loa/Depl^0.3333)^DJ$3*DJ$7)</f>
        <v>0</v>
      </c>
      <c r="DK225" s="136">
        <f>IF(SeilBeregnet=0,DK224,((Loa)/Bredde)^DK$3*DK$7)</f>
        <v>2.3406519787002207</v>
      </c>
      <c r="DL225" s="110">
        <f>IF(SeilBeregnet=0,DL224,(Lwl)^DL$3)</f>
        <v>2.0946317561079946</v>
      </c>
      <c r="DM225" s="136">
        <f>IF(SeilBeregnet=0,DM224,(Dypg/Loa)^DM$3*5*DM$7)</f>
        <v>1.8114574736479772</v>
      </c>
      <c r="DO225" s="110">
        <f t="shared" si="344"/>
        <v>1.3144270093799799</v>
      </c>
      <c r="DP225" s="110">
        <f t="shared" si="1668"/>
        <v>1.2566444252482851</v>
      </c>
      <c r="DQ225" s="125">
        <f>DP225-DO225</f>
        <v>-5.7782584131694792E-2</v>
      </c>
      <c r="DR225" s="110">
        <f t="shared" si="1669"/>
        <v>1.289703115222653</v>
      </c>
      <c r="DS225" s="125">
        <f t="shared" ref="DS225" si="1830">IF($DQ225=0,"-",DR225-$DO225)</f>
        <v>-2.4723894157326898E-2</v>
      </c>
      <c r="DT225" s="110">
        <f t="shared" si="1671"/>
        <v>1.2998869123615058</v>
      </c>
      <c r="DU225" s="125">
        <f t="shared" ref="DU225" si="1831">IF($DQ225=0,"-",DT225-$DO225)</f>
        <v>-1.4540097018474141E-2</v>
      </c>
      <c r="DV225" s="110">
        <f t="shared" si="1687"/>
        <v>3.6151431814758599</v>
      </c>
      <c r="DW225" s="110">
        <f t="shared" si="1688"/>
        <v>2.6797900088404343</v>
      </c>
      <c r="DX225" s="110">
        <f t="shared" si="1689"/>
        <v>1.7695233609798884</v>
      </c>
      <c r="DZ225" s="110">
        <f t="shared" si="1673"/>
        <v>1.3017280366108068</v>
      </c>
      <c r="EB225" s="110">
        <f t="shared" si="1690"/>
        <v>3.6151431814758599</v>
      </c>
      <c r="EC225" s="110">
        <f t="shared" si="1691"/>
        <v>2.6800277846463949</v>
      </c>
      <c r="ED225" s="110">
        <f t="shared" si="1692"/>
        <v>2.1401391899601916</v>
      </c>
      <c r="EE225" s="110">
        <f t="shared" si="1674"/>
        <v>1.2662784367791122</v>
      </c>
      <c r="EG225" s="110">
        <f t="shared" si="1693"/>
        <v>6.3970803129086899</v>
      </c>
      <c r="EH225" s="110">
        <f t="shared" si="1694"/>
        <v>3.6151431814758599</v>
      </c>
      <c r="EI225" s="110">
        <f t="shared" si="1695"/>
        <v>1.7695233609798884</v>
      </c>
      <c r="EJ225" s="110">
        <f t="shared" si="1696"/>
        <v>2.0946317561079946</v>
      </c>
      <c r="EK225" s="110">
        <f>IF(SeilBeregnet=0,"-",EK$7*(EK$4*EM:EM+EK$6)*EP:EP*PropF+ErfaringsF+Dyp_F)</f>
        <v>1.2615975944072926</v>
      </c>
      <c r="EM225" s="110">
        <f>IF(SeilBeregnet=0,EM224,(EN:EN*EO:EO)^EM$3)</f>
        <v>2.0217245987627974</v>
      </c>
      <c r="EN225" s="110">
        <f t="shared" si="1697"/>
        <v>3.6151431814758599</v>
      </c>
      <c r="EO225" s="110">
        <f t="shared" si="1698"/>
        <v>1.1306247493007873</v>
      </c>
      <c r="EP225" s="110">
        <f t="shared" si="1699"/>
        <v>2.1352975404230423</v>
      </c>
      <c r="EQ225" s="110">
        <f>IF(SeilBeregnet=0,"-",EQ$7*(ES:ES+EQ$6)*EV:EV*PropF+ErfaringsF+Dyp_F)</f>
        <v>1.1813702616352815</v>
      </c>
      <c r="ES225" s="110">
        <f>(ET:ET*EU:EU)^ES$3</f>
        <v>2.0218534421782626</v>
      </c>
      <c r="ET225" s="110">
        <f t="shared" si="1700"/>
        <v>3.615603978398815</v>
      </c>
      <c r="EU225" s="110">
        <f t="shared" si="1701"/>
        <v>1.1306247493007873</v>
      </c>
      <c r="EV225" s="110">
        <f t="shared" si="1702"/>
        <v>2.1352975404230423</v>
      </c>
      <c r="EW225" s="110">
        <f>IF(SeilBeregnet=0,"-",EW$7*(EY:EY+EW$6)*FB:FB*PropF+ErfaringsF+Dyp_F)</f>
        <v>1.3596753818994103</v>
      </c>
      <c r="EX225" s="144">
        <f t="shared" ref="EX225" si="1832">IF($DQ225=0,"-",(EW225-$DO225)*100)</f>
        <v>4.5248372519430369</v>
      </c>
      <c r="EY225" s="110">
        <f>(EZ:EZ*FA:FA)^EY$3</f>
        <v>4.6218711233197283</v>
      </c>
      <c r="EZ225" s="136">
        <f t="shared" si="1703"/>
        <v>3.615603978398815</v>
      </c>
      <c r="FA225" s="136">
        <f t="shared" si="1704"/>
        <v>1.2783123237314677</v>
      </c>
      <c r="FB225" s="110">
        <f t="shared" si="1705"/>
        <v>1.2007660485571867</v>
      </c>
      <c r="FC225" s="110">
        <f>IF(SeilBeregnet=0,"-",FC$7*(FE:FE+FC$6)*FI:FI*PropF+ErfaringsF+Dyp_F)</f>
        <v>1.252801783490687</v>
      </c>
      <c r="FD225" s="144">
        <f t="shared" ref="FD225" si="1833">IF($DQ225=0,"-",(FC225-$DO225)*100)</f>
        <v>-6.1625225889292867</v>
      </c>
      <c r="FE225" s="110">
        <f>(FF:FF+FG:FG+FH:FH)^FE$3+FE$7</f>
        <v>6.230220915907454</v>
      </c>
      <c r="FF225" s="136">
        <f t="shared" si="1706"/>
        <v>3.615603978398815</v>
      </c>
      <c r="FG225" s="136">
        <f t="shared" si="1707"/>
        <v>0.77396495880841787</v>
      </c>
      <c r="FH225" s="136">
        <f t="shared" si="1708"/>
        <v>2.3406519787002207</v>
      </c>
      <c r="FI225" s="110">
        <f t="shared" si="1709"/>
        <v>2.0946317561079946</v>
      </c>
      <c r="FJ225" s="110">
        <f>IF(SeilBeregnet=0,"-",FJ$7*(FL:FL+FJ$6)*FO:FO*PropF+ErfaringsF+Dyp_F)</f>
        <v>1.3574664762924684</v>
      </c>
      <c r="FK225" s="144">
        <f t="shared" ref="FK225" si="1834">IF($DQ225=0,"-",(FJ225-$DO225)*100)</f>
        <v>4.30394669124885</v>
      </c>
      <c r="FL225" s="110">
        <f>(FM:FM*FN:FN)^FL$3</f>
        <v>8.4628706062355761</v>
      </c>
      <c r="FM225" s="136">
        <f t="shared" si="1710"/>
        <v>3.615603978398815</v>
      </c>
      <c r="FN225" s="136">
        <f t="shared" si="1711"/>
        <v>2.3406519787002207</v>
      </c>
      <c r="FO225" s="110">
        <f t="shared" si="1712"/>
        <v>2.0946317561079946</v>
      </c>
      <c r="FQ225" s="374">
        <v>1</v>
      </c>
      <c r="FR225" s="64">
        <f t="shared" si="1678"/>
        <v>1.5216915855398112</v>
      </c>
      <c r="FS225" s="479"/>
      <c r="FT225" s="18"/>
      <c r="FU225" s="481"/>
      <c r="FV225" s="504"/>
      <c r="FW225" s="18"/>
      <c r="FX225" s="18"/>
      <c r="FY225" s="18"/>
      <c r="FZ225" s="18"/>
      <c r="GB225" s="18"/>
      <c r="GC225" s="481"/>
      <c r="GD225" s="8"/>
      <c r="GE225" s="8"/>
      <c r="GF225" s="8"/>
      <c r="GG225" s="8"/>
      <c r="GI225" s="18"/>
      <c r="GJ225" s="18"/>
      <c r="GK225" s="18"/>
      <c r="GL225" s="18"/>
      <c r="GM225" s="18"/>
      <c r="GN225" s="18"/>
      <c r="GO225" s="18"/>
      <c r="GP225" s="18"/>
    </row>
    <row r="226" spans="1:198" ht="15.6" x14ac:dyDescent="0.3">
      <c r="A226" s="62" t="s">
        <v>36</v>
      </c>
      <c r="B226" s="223"/>
      <c r="C226" s="63" t="str">
        <f>C224</f>
        <v>Bermuda</v>
      </c>
      <c r="D226" s="63"/>
      <c r="E226" s="63"/>
      <c r="F226" s="63"/>
      <c r="G226" s="56"/>
      <c r="H226" s="209">
        <f>TBFavrundet</f>
        <v>119.49999999999999</v>
      </c>
      <c r="I226" s="65">
        <f>COUNTA(O226:AD226)</f>
        <v>2</v>
      </c>
      <c r="J226" s="228">
        <f>SUM(O226:AD226)</f>
        <v>162.5</v>
      </c>
      <c r="K226" s="119">
        <f>Seilareal/Depl^0.667/K$7</f>
        <v>0.87352700074956879</v>
      </c>
      <c r="L226" s="119">
        <f>Seilareal/Lwl/Lwl/L$7</f>
        <v>0.66537866511469124</v>
      </c>
      <c r="M226" s="95">
        <f>RiggF</f>
        <v>1</v>
      </c>
      <c r="N226" s="265">
        <f>StHfaktor</f>
        <v>1.0245937954416011</v>
      </c>
      <c r="O226" s="147"/>
      <c r="P226" s="147"/>
      <c r="Q226" s="147"/>
      <c r="R226" s="147"/>
      <c r="S226" s="147"/>
      <c r="T226" s="169">
        <v>46</v>
      </c>
      <c r="U226" s="148"/>
      <c r="V226" s="148"/>
      <c r="W226" s="148"/>
      <c r="X226" s="148"/>
      <c r="Y226" s="147"/>
      <c r="Z226" s="147"/>
      <c r="AA226" s="147"/>
      <c r="AB226" s="169">
        <v>116.5</v>
      </c>
      <c r="AC226" s="147"/>
      <c r="AD226" s="148"/>
      <c r="AE226" s="260">
        <f t="shared" ref="AE226" si="1835">AE224</f>
        <v>23.38</v>
      </c>
      <c r="AF226" s="375">
        <f t="shared" si="1815"/>
        <v>0</v>
      </c>
      <c r="AG226" s="377"/>
      <c r="AH226" s="375">
        <f t="shared" si="1815"/>
        <v>0</v>
      </c>
      <c r="AI226" s="377"/>
      <c r="AJ226" s="295" t="str">
        <f t="shared" ref="AJ226" si="1836" xml:space="preserve"> AJ225</f>
        <v>Meter</v>
      </c>
      <c r="AK226" s="47">
        <f>VLOOKUP(AJ226,Skrogform!$1:$1048576,3,FALSE)</f>
        <v>1</v>
      </c>
      <c r="AL226" s="66">
        <f t="shared" ref="AL226:AT226" si="1837">AL225</f>
        <v>24.38</v>
      </c>
      <c r="AM226" s="66">
        <f t="shared" si="1837"/>
        <v>19.25</v>
      </c>
      <c r="AN226" s="66">
        <f t="shared" si="1837"/>
        <v>4.45</v>
      </c>
      <c r="AO226" s="66">
        <f t="shared" si="1837"/>
        <v>3.2</v>
      </c>
      <c r="AP226" s="66">
        <f t="shared" si="1837"/>
        <v>70</v>
      </c>
      <c r="AQ226" s="66">
        <f t="shared" si="1837"/>
        <v>22</v>
      </c>
      <c r="AR226" s="66">
        <f t="shared" si="1837"/>
        <v>0</v>
      </c>
      <c r="AS226" s="284">
        <f t="shared" si="1837"/>
        <v>125</v>
      </c>
      <c r="AT226" s="284">
        <f t="shared" si="1837"/>
        <v>800</v>
      </c>
      <c r="AU226" s="284">
        <f t="shared" ref="AU226:AV226" si="1838">AU225</f>
        <v>700</v>
      </c>
      <c r="AV226" s="284">
        <f t="shared" si="1838"/>
        <v>700</v>
      </c>
      <c r="AW226" s="284"/>
      <c r="AX226" s="284">
        <f>AX225</f>
        <v>0</v>
      </c>
      <c r="AY226" s="68"/>
      <c r="AZ226" s="68"/>
      <c r="BA226" s="289"/>
      <c r="BB226" s="68"/>
      <c r="BC226" s="179"/>
      <c r="BD226" s="68"/>
      <c r="BE226" s="68"/>
      <c r="BF226" s="67" t="str">
        <f t="shared" ref="BF226:BH226" si="1839" xml:space="preserve"> BF225</f>
        <v>Seilrett</v>
      </c>
      <c r="BG226" s="295">
        <f t="shared" si="1839"/>
        <v>0</v>
      </c>
      <c r="BH226" s="295">
        <f t="shared" si="1839"/>
        <v>0</v>
      </c>
      <c r="BI226" s="47">
        <f t="shared" si="1662"/>
        <v>1</v>
      </c>
      <c r="BJ226" s="61"/>
      <c r="BK226" s="61"/>
      <c r="BM226" s="51">
        <f t="shared" si="1820"/>
        <v>0</v>
      </c>
      <c r="BN226" s="51">
        <f t="shared" si="1820"/>
        <v>0</v>
      </c>
      <c r="BO226" s="51">
        <f t="shared" si="1820"/>
        <v>0</v>
      </c>
      <c r="BP226" s="51">
        <f t="shared" si="1820"/>
        <v>0</v>
      </c>
      <c r="BQ226" s="51">
        <f t="shared" si="1820"/>
        <v>0</v>
      </c>
      <c r="BR226" s="51">
        <f t="shared" si="1820"/>
        <v>46</v>
      </c>
      <c r="BS226" s="52">
        <f>IF(COUNT(P226:T226)&gt;1,MINA(P226:T226)*BS$9,0)</f>
        <v>0</v>
      </c>
      <c r="BT226" s="88">
        <f t="shared" si="1821"/>
        <v>0</v>
      </c>
      <c r="BU226" s="88">
        <f t="shared" si="1821"/>
        <v>0</v>
      </c>
      <c r="BV226" s="88">
        <f t="shared" si="1821"/>
        <v>0</v>
      </c>
      <c r="BW226" s="88">
        <f t="shared" si="1821"/>
        <v>0</v>
      </c>
      <c r="BX226" s="88">
        <f t="shared" si="1821"/>
        <v>0</v>
      </c>
      <c r="BY226" s="88">
        <f t="shared" si="1821"/>
        <v>0</v>
      </c>
      <c r="BZ226" s="88">
        <f t="shared" si="1821"/>
        <v>0</v>
      </c>
      <c r="CA226" s="88">
        <f t="shared" si="1821"/>
        <v>116.5</v>
      </c>
      <c r="CB226" s="88">
        <f t="shared" si="1821"/>
        <v>0</v>
      </c>
      <c r="CC226" s="88">
        <f t="shared" si="1821"/>
        <v>0</v>
      </c>
      <c r="CD226" s="103">
        <f>SUM(BM226:CC226)</f>
        <v>162.5</v>
      </c>
      <c r="CE226" s="52"/>
      <c r="CF226" s="109">
        <f>J226</f>
        <v>162.5</v>
      </c>
      <c r="CG226" s="104">
        <f t="shared" si="1822"/>
        <v>1</v>
      </c>
      <c r="CH226" s="53">
        <f>Seilareal/Lwl/Lwl</f>
        <v>0.43852251644459439</v>
      </c>
      <c r="CI226" s="119">
        <f>Seilareal/Depl^0.667/K$7</f>
        <v>0.87352700074956879</v>
      </c>
      <c r="CJ226" s="53">
        <f>Seilareal/Lwl/Lwl/SApRS1</f>
        <v>0.66537866511469124</v>
      </c>
      <c r="CK226" s="209"/>
      <c r="CL226" s="209">
        <f>(ROUND(TBF/CL$6,3)*CL$6)*CL$4</f>
        <v>119.49999999999999</v>
      </c>
      <c r="CM226" s="110">
        <f t="shared" si="1772"/>
        <v>1.1959517780866207</v>
      </c>
      <c r="CN226" s="64">
        <f>IF(SeilBeregnet=0,"-",(SeilBeregnet)^(1/2)*StHfaktor/(Depl+DeplTillegg/1000+Vann/1000+Diesel/1000*0.84)^(1/3))</f>
        <v>3.1470285913617406</v>
      </c>
      <c r="CO226" s="64">
        <f t="shared" si="1759"/>
        <v>2.214101892644337</v>
      </c>
      <c r="CP226" s="64">
        <f t="shared" si="1760"/>
        <v>2.0946317561079946</v>
      </c>
      <c r="CQ226" s="110">
        <f t="shared" si="1761"/>
        <v>1.0245937954416011</v>
      </c>
      <c r="CR226" s="172" t="str">
        <f t="shared" ref="CR226:CR249" si="1840">IF(CS226=0,"-",IF(CH226="TBF","-",CR$7*CS226))</f>
        <v>-</v>
      </c>
      <c r="CS226" s="162"/>
      <c r="CT226" s="172" t="str">
        <f t="shared" si="1660"/>
        <v>-</v>
      </c>
      <c r="CU226" s="164"/>
      <c r="CV226" s="195" t="s">
        <v>145</v>
      </c>
      <c r="CW226" s="64">
        <v>1.24</v>
      </c>
      <c r="CX226" s="64">
        <v>1.08</v>
      </c>
      <c r="CY226" s="64">
        <v>1.1599999999999999</v>
      </c>
      <c r="CZ226" s="154">
        <v>1.21</v>
      </c>
      <c r="DA226" s="64">
        <f t="shared" si="1663"/>
        <v>1.9052944181583571</v>
      </c>
      <c r="DB226" s="49">
        <f t="shared" si="1664"/>
        <v>12.955465587044534</v>
      </c>
      <c r="DC226" s="50">
        <f t="shared" si="1665"/>
        <v>0</v>
      </c>
      <c r="DE226" s="110">
        <f>IF(SeilBeregnet=0,"-",DE$7*(DG:DG+DE$6)*DL:DL*PropF+ErfaringsF+Dyp_F)</f>
        <v>1.1496453932650577</v>
      </c>
      <c r="DF226" s="144">
        <f>IF($DQ226=0,"-",(DE226-$DO226)*100)</f>
        <v>-4.6306384821563018</v>
      </c>
      <c r="DG226" s="110">
        <f t="shared" si="1667"/>
        <v>5.4341903405682999</v>
      </c>
      <c r="DH226" s="136">
        <f>IF(SeilBeregnet=0,DH224,(SeilBeregnet^0.5/(Depl^0.3333))^DH$3*DH$7)</f>
        <v>3.0935383618680796</v>
      </c>
      <c r="DI226" s="136">
        <f>IF(SeilBeregnet=0,DI224,(SeilBeregnet^0.5/Lwl)^DI$3*DI$7)</f>
        <v>0</v>
      </c>
      <c r="DJ226" s="136">
        <f>IF(SeilBeregnet=0,DJ224,(0.1*Loa/Depl^0.3333)^DJ$3*DJ$7)</f>
        <v>0</v>
      </c>
      <c r="DK226" s="136">
        <f>IF(SeilBeregnet=0,DK224,((Loa)/Bredde)^DK$3*DK$7)</f>
        <v>2.3406519787002207</v>
      </c>
      <c r="DL226" s="110">
        <f>IF(SeilBeregnet=0,DL224,(Lwl)^DL$3)</f>
        <v>2.0946317561079946</v>
      </c>
      <c r="DM226" s="136">
        <f>IF(SeilBeregnet=0,DM224,(Dypg/Loa)^DM$3*5*DM$7)</f>
        <v>1.8114574736479772</v>
      </c>
      <c r="DO226" s="110">
        <f t="shared" si="344"/>
        <v>1.1959517780866207</v>
      </c>
      <c r="DP226" s="110">
        <f t="shared" si="1668"/>
        <v>1.1036848618789052</v>
      </c>
      <c r="DQ226" s="125">
        <f>DP226-DO226</f>
        <v>-9.2266916207715433E-2</v>
      </c>
      <c r="DR226" s="110">
        <f t="shared" si="1669"/>
        <v>1.1519851460818118</v>
      </c>
      <c r="DS226" s="125">
        <f>IF($DQ226=0,"-",DR226-$DO226)</f>
        <v>-4.3966632004808881E-2</v>
      </c>
      <c r="DT226" s="110">
        <f t="shared" si="1671"/>
        <v>1.1447681519142903</v>
      </c>
      <c r="DU226" s="125">
        <f>IF($DQ226=0,"-",DT226-$DO226)</f>
        <v>-5.118362617233041E-2</v>
      </c>
      <c r="DV226" s="110">
        <f t="shared" si="1687"/>
        <v>3.0931441005035309</v>
      </c>
      <c r="DW226" s="110">
        <f t="shared" si="1688"/>
        <v>2.6797900088404343</v>
      </c>
      <c r="DX226" s="110">
        <f t="shared" si="1689"/>
        <v>1.7695233609798884</v>
      </c>
      <c r="DZ226" s="110">
        <f t="shared" si="1673"/>
        <v>1.1559510496858414</v>
      </c>
      <c r="EB226" s="110">
        <f t="shared" si="1690"/>
        <v>3.0931441005035309</v>
      </c>
      <c r="EC226" s="110">
        <f t="shared" si="1691"/>
        <v>2.6800277846463949</v>
      </c>
      <c r="ED226" s="110">
        <f t="shared" si="1692"/>
        <v>2.1401391899601916</v>
      </c>
      <c r="EE226" s="110">
        <f t="shared" si="1674"/>
        <v>1.1269861900824305</v>
      </c>
      <c r="EG226" s="110">
        <f t="shared" si="1693"/>
        <v>5.473390744718122</v>
      </c>
      <c r="EH226" s="110">
        <f t="shared" si="1694"/>
        <v>3.0931441005035309</v>
      </c>
      <c r="EI226" s="110">
        <f t="shared" si="1695"/>
        <v>1.7695233609798884</v>
      </c>
      <c r="EJ226" s="110">
        <f t="shared" si="1696"/>
        <v>2.0946317561079946</v>
      </c>
      <c r="EK226" s="110">
        <f>IF(SeilBeregnet=0,"-",EK$7*(EK$4*EM:EM+EK$6)*EP:EP*PropF+ErfaringsF+Dyp_F)</f>
        <v>1.135872373829671</v>
      </c>
      <c r="EM226" s="110">
        <f>IF(SeilBeregnet=0,EM225,(EN:EN*EO:EO)^EM$3)</f>
        <v>1.8700762746965733</v>
      </c>
      <c r="EN226" s="110">
        <f t="shared" si="1697"/>
        <v>3.0931441005035309</v>
      </c>
      <c r="EO226" s="110">
        <f t="shared" si="1698"/>
        <v>1.1306247493007873</v>
      </c>
      <c r="EP226" s="110">
        <f t="shared" si="1699"/>
        <v>2.1352975404230423</v>
      </c>
      <c r="EQ226" s="110">
        <f>IF(SeilBeregnet=0,"-",EQ$7*(ES:ES+EQ$6)*EV:EV*PropF+ErfaringsF+Dyp_F)</f>
        <v>1.0927564017711335</v>
      </c>
      <c r="ES226" s="110">
        <f>(ET:ET*EU:EU)^ES$3</f>
        <v>1.870195453646347</v>
      </c>
      <c r="ET226" s="110">
        <f t="shared" si="1700"/>
        <v>3.0935383618680796</v>
      </c>
      <c r="EU226" s="110">
        <f t="shared" si="1701"/>
        <v>1.1306247493007873</v>
      </c>
      <c r="EV226" s="110">
        <f t="shared" si="1702"/>
        <v>2.1352975404230423</v>
      </c>
      <c r="EW226" s="110">
        <f>IF(SeilBeregnet=0,"-",EW$7*(EY:EY+EW$6)*FB:FB*PropF+ErfaringsF+Dyp_F)</f>
        <v>1.2226450917389351</v>
      </c>
      <c r="EX226" s="144">
        <f>IF($DQ226=0,"-",(EW226-$DO226)*100)</f>
        <v>2.6693313652314421</v>
      </c>
      <c r="EY226" s="110">
        <f>(EZ:EZ*FA:FA)^EY$3</f>
        <v>3.9545082119120232</v>
      </c>
      <c r="EZ226" s="136">
        <f t="shared" si="1703"/>
        <v>3.0935383618680796</v>
      </c>
      <c r="FA226" s="136">
        <f t="shared" si="1704"/>
        <v>1.2783123237314677</v>
      </c>
      <c r="FB226" s="110">
        <f t="shared" si="1705"/>
        <v>1.2007660485571867</v>
      </c>
      <c r="FC226" s="110">
        <f>IF(SeilBeregnet=0,"-",FC$7*(FE:FE+FC$6)*FI:FI*PropF+ErfaringsF+Dyp_F)</f>
        <v>1.1253502614740016</v>
      </c>
      <c r="FD226" s="144">
        <f>IF($DQ226=0,"-",(FC226-$DO226)*100)</f>
        <v>-7.0601516612619042</v>
      </c>
      <c r="FE226" s="110">
        <f>(FF:FF+FG:FG+FH:FH)^FE$3+FE$7</f>
        <v>5.5964006670089219</v>
      </c>
      <c r="FF226" s="136">
        <f t="shared" si="1706"/>
        <v>3.0935383618680796</v>
      </c>
      <c r="FG226" s="136">
        <f t="shared" si="1707"/>
        <v>0.66221032644062139</v>
      </c>
      <c r="FH226" s="136">
        <f t="shared" si="1708"/>
        <v>2.3406519787002207</v>
      </c>
      <c r="FI226" s="110">
        <f t="shared" si="1709"/>
        <v>2.0946317561079946</v>
      </c>
      <c r="FJ226" s="110">
        <f>IF(SeilBeregnet=0,"-",FJ$7*(FL:FL+FJ$6)*FO:FO*PropF+ErfaringsF+Dyp_F)</f>
        <v>1.2243680368185157</v>
      </c>
      <c r="FK226" s="144">
        <f>IF($DQ226=0,"-",(FJ226-$DO226)*100)</f>
        <v>2.8416258731895017</v>
      </c>
      <c r="FL226" s="110">
        <f>(FM:FM*FN:FN)^FL$3</f>
        <v>7.2408966878915599</v>
      </c>
      <c r="FM226" s="136">
        <f t="shared" si="1710"/>
        <v>3.0935383618680796</v>
      </c>
      <c r="FN226" s="136">
        <f t="shared" si="1711"/>
        <v>2.3406519787002207</v>
      </c>
      <c r="FO226" s="110">
        <f t="shared" si="1712"/>
        <v>2.0946317561079946</v>
      </c>
      <c r="FQ226" s="374">
        <v>1</v>
      </c>
      <c r="FR226" s="64">
        <f t="shared" si="1678"/>
        <v>1.4194269067219301</v>
      </c>
      <c r="FS226" s="479"/>
      <c r="FT226" s="18"/>
      <c r="FU226" s="481"/>
      <c r="FV226" s="504"/>
      <c r="FW226" s="18"/>
      <c r="FX226" s="18"/>
      <c r="FY226" s="18"/>
      <c r="FZ226" s="18"/>
      <c r="GB226" s="18"/>
      <c r="GC226" s="481"/>
      <c r="GD226" s="8"/>
      <c r="GE226" s="8"/>
      <c r="GF226" s="8"/>
      <c r="GG226" s="8"/>
      <c r="GI226" s="18"/>
      <c r="GJ226" s="18"/>
      <c r="GK226" s="18"/>
      <c r="GL226" s="18"/>
      <c r="GM226" s="18"/>
      <c r="GN226" s="18"/>
      <c r="GO226" s="18"/>
      <c r="GP226" s="18"/>
    </row>
    <row r="227" spans="1:198" ht="15.6" x14ac:dyDescent="0.3">
      <c r="A227" s="62" t="s">
        <v>38</v>
      </c>
      <c r="B227" s="223"/>
      <c r="C227" s="63" t="str">
        <f>C225</f>
        <v>Bermuda</v>
      </c>
      <c r="D227" s="63"/>
      <c r="E227" s="63"/>
      <c r="F227" s="63"/>
      <c r="G227" s="56"/>
      <c r="H227" s="209">
        <f>TBFavrundet</f>
        <v>114.00000000000001</v>
      </c>
      <c r="I227" s="65">
        <f>COUNTA(O227:AD227)</f>
        <v>2</v>
      </c>
      <c r="J227" s="228">
        <f>SUM(O227:AD227)</f>
        <v>143</v>
      </c>
      <c r="K227" s="119">
        <f>Seilareal/Depl^0.667/K$7</f>
        <v>0.76870376065962065</v>
      </c>
      <c r="L227" s="119">
        <f>Seilareal/Lwl/Lwl/L$7</f>
        <v>0.58553322530092833</v>
      </c>
      <c r="M227" s="95">
        <f>RiggF</f>
        <v>0.96608391608391597</v>
      </c>
      <c r="N227" s="265">
        <f>StHfaktor</f>
        <v>1.0245937954416011</v>
      </c>
      <c r="O227" s="147"/>
      <c r="P227" s="147"/>
      <c r="Q227" s="147"/>
      <c r="R227" s="147"/>
      <c r="S227" s="147"/>
      <c r="T227" s="169">
        <v>46</v>
      </c>
      <c r="U227" s="148"/>
      <c r="V227" s="148"/>
      <c r="W227" s="148"/>
      <c r="X227" s="148"/>
      <c r="Y227" s="147"/>
      <c r="Z227" s="147"/>
      <c r="AA227" s="147"/>
      <c r="AB227" s="148"/>
      <c r="AC227" s="181">
        <v>97</v>
      </c>
      <c r="AD227" s="148"/>
      <c r="AE227" s="260">
        <f t="shared" ref="AE227" si="1841">AE225</f>
        <v>23.38</v>
      </c>
      <c r="AF227" s="375">
        <f t="shared" si="1815"/>
        <v>0</v>
      </c>
      <c r="AG227" s="377"/>
      <c r="AH227" s="375">
        <f t="shared" si="1815"/>
        <v>0</v>
      </c>
      <c r="AI227" s="377"/>
      <c r="AJ227" s="295" t="str">
        <f t="shared" ref="AJ227" si="1842" xml:space="preserve"> AJ226</f>
        <v>Meter</v>
      </c>
      <c r="AK227" s="47">
        <f>VLOOKUP(AJ227,Skrogform!$1:$1048576,3,FALSE)</f>
        <v>1</v>
      </c>
      <c r="AL227" s="66">
        <f t="shared" ref="AL227:AT227" si="1843">AL226</f>
        <v>24.38</v>
      </c>
      <c r="AM227" s="66">
        <f t="shared" si="1843"/>
        <v>19.25</v>
      </c>
      <c r="AN227" s="66">
        <f t="shared" si="1843"/>
        <v>4.45</v>
      </c>
      <c r="AO227" s="66">
        <f t="shared" si="1843"/>
        <v>3.2</v>
      </c>
      <c r="AP227" s="66">
        <f t="shared" si="1843"/>
        <v>70</v>
      </c>
      <c r="AQ227" s="66">
        <f t="shared" si="1843"/>
        <v>22</v>
      </c>
      <c r="AR227" s="66">
        <f t="shared" si="1843"/>
        <v>0</v>
      </c>
      <c r="AS227" s="284">
        <f t="shared" si="1843"/>
        <v>125</v>
      </c>
      <c r="AT227" s="284">
        <f t="shared" si="1843"/>
        <v>800</v>
      </c>
      <c r="AU227" s="284">
        <f t="shared" ref="AU227:AV227" si="1844">AU226</f>
        <v>700</v>
      </c>
      <c r="AV227" s="284">
        <f t="shared" si="1844"/>
        <v>700</v>
      </c>
      <c r="AW227" s="284"/>
      <c r="AX227" s="284">
        <f>AX226</f>
        <v>0</v>
      </c>
      <c r="AY227" s="68"/>
      <c r="AZ227" s="68"/>
      <c r="BA227" s="289"/>
      <c r="BB227" s="68"/>
      <c r="BC227" s="179"/>
      <c r="BD227" s="68"/>
      <c r="BE227" s="68"/>
      <c r="BF227" s="67" t="str">
        <f t="shared" ref="BF227:BH227" si="1845" xml:space="preserve"> BF226</f>
        <v>Seilrett</v>
      </c>
      <c r="BG227" s="295">
        <f t="shared" si="1845"/>
        <v>0</v>
      </c>
      <c r="BH227" s="295">
        <f t="shared" si="1845"/>
        <v>0</v>
      </c>
      <c r="BI227" s="47">
        <f t="shared" si="1662"/>
        <v>1</v>
      </c>
      <c r="BJ227" s="61"/>
      <c r="BK227" s="61"/>
      <c r="BM227" s="51">
        <f t="shared" si="1820"/>
        <v>0</v>
      </c>
      <c r="BN227" s="51">
        <f t="shared" si="1820"/>
        <v>0</v>
      </c>
      <c r="BO227" s="51">
        <f t="shared" si="1820"/>
        <v>0</v>
      </c>
      <c r="BP227" s="51">
        <f t="shared" si="1820"/>
        <v>0</v>
      </c>
      <c r="BQ227" s="51">
        <f t="shared" si="1820"/>
        <v>0</v>
      </c>
      <c r="BR227" s="51">
        <f t="shared" si="1820"/>
        <v>46</v>
      </c>
      <c r="BS227" s="52">
        <f>IF(COUNT(P227:T227)&gt;1,MINA(P227:T227)*BS$9,0)</f>
        <v>0</v>
      </c>
      <c r="BT227" s="88">
        <f t="shared" si="1821"/>
        <v>0</v>
      </c>
      <c r="BU227" s="88">
        <f t="shared" si="1821"/>
        <v>0</v>
      </c>
      <c r="BV227" s="88">
        <f t="shared" si="1821"/>
        <v>0</v>
      </c>
      <c r="BW227" s="88">
        <f t="shared" si="1821"/>
        <v>0</v>
      </c>
      <c r="BX227" s="88">
        <f t="shared" si="1821"/>
        <v>0</v>
      </c>
      <c r="BY227" s="88">
        <f t="shared" si="1821"/>
        <v>0</v>
      </c>
      <c r="BZ227" s="88">
        <f t="shared" si="1821"/>
        <v>0</v>
      </c>
      <c r="CA227" s="88">
        <f t="shared" si="1821"/>
        <v>0</v>
      </c>
      <c r="CB227" s="88">
        <f t="shared" si="1821"/>
        <v>92.149999999999991</v>
      </c>
      <c r="CC227" s="88">
        <f t="shared" si="1821"/>
        <v>0</v>
      </c>
      <c r="CD227" s="103">
        <f>SUM(BM227:CC227)</f>
        <v>138.14999999999998</v>
      </c>
      <c r="CE227" s="52"/>
      <c r="CF227" s="109">
        <f>J227</f>
        <v>143</v>
      </c>
      <c r="CG227" s="104">
        <f t="shared" ref="CG227" si="1846">CD227/CF227</f>
        <v>0.96608391608391597</v>
      </c>
      <c r="CH227" s="53">
        <f>Seilareal/Lwl/Lwl</f>
        <v>0.38589981447124305</v>
      </c>
      <c r="CI227" s="119">
        <f>Seilareal/Depl^0.667/K$7</f>
        <v>0.76870376065962065</v>
      </c>
      <c r="CJ227" s="53">
        <f>Seilareal/Lwl/Lwl/SApRS1</f>
        <v>0.58553322530092833</v>
      </c>
      <c r="CK227" s="209"/>
      <c r="CL227" s="209">
        <f>(ROUND(TBF/CL$6,3)*CL$6)*CL$4</f>
        <v>114.00000000000001</v>
      </c>
      <c r="CM227" s="110">
        <f t="shared" si="1772"/>
        <v>1.1412197377713988</v>
      </c>
      <c r="CN227" s="64">
        <f>IF(SeilBeregnet=0,"-",(SeilBeregnet)^(1/2)*StHfaktor/(Depl+DeplTillegg/1000+Vann/1000+Diesel/1000*0.84)^(1/3))</f>
        <v>2.9016795604374082</v>
      </c>
      <c r="CO227" s="64">
        <f t="shared" si="1759"/>
        <v>2.214101892644337</v>
      </c>
      <c r="CP227" s="64">
        <f t="shared" si="1760"/>
        <v>2.0946317561079946</v>
      </c>
      <c r="CQ227" s="110">
        <f t="shared" si="1761"/>
        <v>1.0245937954416011</v>
      </c>
      <c r="CR227" s="172" t="str">
        <f t="shared" si="1840"/>
        <v>-</v>
      </c>
      <c r="CS227" s="162"/>
      <c r="CT227" s="172" t="str">
        <f t="shared" si="1660"/>
        <v>-</v>
      </c>
      <c r="CU227" s="164"/>
      <c r="CV227" s="195" t="s">
        <v>145</v>
      </c>
      <c r="CW227" s="64">
        <v>1.24</v>
      </c>
      <c r="CX227" s="64">
        <v>1.08</v>
      </c>
      <c r="CY227" s="64">
        <v>1.1599999999999999</v>
      </c>
      <c r="CZ227" s="154">
        <v>1.21</v>
      </c>
      <c r="DA227" s="64">
        <f t="shared" si="1663"/>
        <v>1.9052944181583571</v>
      </c>
      <c r="DB227" s="49">
        <f t="shared" si="1664"/>
        <v>12.955465587044534</v>
      </c>
      <c r="DC227" s="50">
        <f t="shared" si="1665"/>
        <v>0</v>
      </c>
      <c r="DE227" s="110">
        <f>IF(SeilBeregnet=0,"-",DE$7*(DG:DG+DE$6)*DL:DL*PropF+ErfaringsF+Dyp_F)</f>
        <v>1.0986221311214579</v>
      </c>
      <c r="DF227" s="144">
        <f t="shared" ref="DF227" si="1847">IF($DQ227=0,"-",(DE227-$DO227)*100)</f>
        <v>-4.2597606649941167</v>
      </c>
      <c r="DG227" s="110">
        <f t="shared" si="1667"/>
        <v>5.1930115215086499</v>
      </c>
      <c r="DH227" s="136">
        <f>IF(SeilBeregnet=0,DH225,(SeilBeregnet^0.5/(Depl^0.3333))^DH$3*DH$7)</f>
        <v>2.8523595428084287</v>
      </c>
      <c r="DI227" s="136">
        <f>IF(SeilBeregnet=0,DI225,(SeilBeregnet^0.5/Lwl)^DI$3*DI$7)</f>
        <v>0</v>
      </c>
      <c r="DJ227" s="136">
        <f>IF(SeilBeregnet=0,DJ225,(0.1*Loa/Depl^0.3333)^DJ$3*DJ$7)</f>
        <v>0</v>
      </c>
      <c r="DK227" s="136">
        <f>IF(SeilBeregnet=0,DK225,((Loa)/Bredde)^DK$3*DK$7)</f>
        <v>2.3406519787002207</v>
      </c>
      <c r="DL227" s="110">
        <f>IF(SeilBeregnet=0,DL225,(Lwl)^DL$3)</f>
        <v>2.0946317561079946</v>
      </c>
      <c r="DM227" s="136">
        <f>IF(SeilBeregnet=0,DM225,(Dypg/Loa)^DM$3*5*DM$7)</f>
        <v>1.8114574736479772</v>
      </c>
      <c r="DO227" s="110">
        <f t="shared" si="344"/>
        <v>1.1412197377713991</v>
      </c>
      <c r="DP227" s="110">
        <f t="shared" si="1668"/>
        <v>1.0330220836970079</v>
      </c>
      <c r="DQ227" s="125">
        <f>DP227-DO227</f>
        <v>-0.10819765407439119</v>
      </c>
      <c r="DR227" s="110">
        <f t="shared" si="1669"/>
        <v>1.0883635320375817</v>
      </c>
      <c r="DS227" s="125">
        <f t="shared" ref="DS227" si="1848">IF($DQ227=0,"-",DR227-$DO227)</f>
        <v>-5.285620573381733E-2</v>
      </c>
      <c r="DT227" s="110">
        <f t="shared" si="1671"/>
        <v>1.0731078887710002</v>
      </c>
      <c r="DU227" s="125">
        <f t="shared" ref="DU227" si="1849">IF($DQ227=0,"-",DT227-$DO227)</f>
        <v>-6.8111849000398905E-2</v>
      </c>
      <c r="DV227" s="110">
        <f t="shared" si="1687"/>
        <v>2.8519960188969775</v>
      </c>
      <c r="DW227" s="110">
        <f t="shared" si="1688"/>
        <v>2.6797900088404343</v>
      </c>
      <c r="DX227" s="110">
        <f t="shared" si="1689"/>
        <v>1.7695233609798884</v>
      </c>
      <c r="DZ227" s="110">
        <f t="shared" si="1673"/>
        <v>1.0886064086304241</v>
      </c>
      <c r="EB227" s="110">
        <f t="shared" si="1690"/>
        <v>2.8519960188969775</v>
      </c>
      <c r="EC227" s="110">
        <f t="shared" si="1691"/>
        <v>2.6800277846463949</v>
      </c>
      <c r="ED227" s="110">
        <f t="shared" si="1692"/>
        <v>2.1401391899601916</v>
      </c>
      <c r="EE227" s="110">
        <f t="shared" si="1674"/>
        <v>1.0626373065345835</v>
      </c>
      <c r="EG227" s="110">
        <f t="shared" si="1693"/>
        <v>5.0466735808598413</v>
      </c>
      <c r="EH227" s="110">
        <f t="shared" si="1694"/>
        <v>2.8519960188969775</v>
      </c>
      <c r="EI227" s="110">
        <f t="shared" si="1695"/>
        <v>1.7695233609798884</v>
      </c>
      <c r="EJ227" s="110">
        <f t="shared" si="1696"/>
        <v>2.0946317561079946</v>
      </c>
      <c r="EK227" s="110">
        <f>IF(SeilBeregnet=0,"-",EK$7*(EK$4*EM:EM+EK$6)*EP:EP*PropF+ErfaringsF+Dyp_F)</f>
        <v>1.0742098673507567</v>
      </c>
      <c r="EM227" s="110">
        <f>IF(SeilBeregnet=0,EM226,(EN:EN*EO:EO)^EM$3)</f>
        <v>1.7956996641622001</v>
      </c>
      <c r="EN227" s="110">
        <f t="shared" si="1697"/>
        <v>2.8519960188969775</v>
      </c>
      <c r="EO227" s="110">
        <f t="shared" si="1698"/>
        <v>1.1306247493007873</v>
      </c>
      <c r="EP227" s="110">
        <f t="shared" si="1699"/>
        <v>2.1352975404230423</v>
      </c>
      <c r="EQ227" s="110">
        <f>IF(SeilBeregnet=0,"-",EQ$7*(ES:ES+EQ$6)*EV:EV*PropF+ErfaringsF+Dyp_F)</f>
        <v>1.0492953310099091</v>
      </c>
      <c r="ES227" s="110">
        <f>(ET:ET*EU:EU)^ES$3</f>
        <v>1.7958141031308024</v>
      </c>
      <c r="ET227" s="110">
        <f t="shared" si="1700"/>
        <v>2.8523595428084287</v>
      </c>
      <c r="EU227" s="110">
        <f t="shared" si="1701"/>
        <v>1.1306247493007873</v>
      </c>
      <c r="EV227" s="110">
        <f t="shared" si="1702"/>
        <v>2.1352975404230423</v>
      </c>
      <c r="EW227" s="110">
        <f>IF(SeilBeregnet=0,"-",EW$7*(EY:EY+EW$6)*FB:FB*PropF+ErfaringsF+Dyp_F)</f>
        <v>1.1593411649721761</v>
      </c>
      <c r="EX227" s="144">
        <f t="shared" ref="EX227" si="1850">IF($DQ227=0,"-",(EW227-$DO227)*100)</f>
        <v>1.8121427200777029</v>
      </c>
      <c r="EY227" s="110">
        <f>(EZ:EZ*FA:FA)^EY$3</f>
        <v>3.6462063552850696</v>
      </c>
      <c r="EZ227" s="136">
        <f t="shared" si="1703"/>
        <v>2.8523595428084287</v>
      </c>
      <c r="FA227" s="136">
        <f t="shared" si="1704"/>
        <v>1.2783123237314677</v>
      </c>
      <c r="FB227" s="110">
        <f t="shared" si="1705"/>
        <v>1.2007660485571867</v>
      </c>
      <c r="FC227" s="110">
        <f>IF(SeilBeregnet=0,"-",FC$7*(FE:FE+FC$6)*FI:FI*PropF+ErfaringsF+Dyp_F)</f>
        <v>1.0664714412758713</v>
      </c>
      <c r="FD227" s="144">
        <f t="shared" ref="FD227" si="1851">IF($DQ227=0,"-",(FC227-$DO227)*100)</f>
        <v>-7.4748296495527722</v>
      </c>
      <c r="FE227" s="110">
        <f>(FF:FF+FG:FG+FH:FH)^FE$3+FE$7</f>
        <v>5.3035945248590828</v>
      </c>
      <c r="FF227" s="136">
        <f t="shared" si="1706"/>
        <v>2.8523595428084287</v>
      </c>
      <c r="FG227" s="136">
        <f t="shared" si="1707"/>
        <v>0.61058300335043325</v>
      </c>
      <c r="FH227" s="136">
        <f t="shared" si="1708"/>
        <v>2.3406519787002207</v>
      </c>
      <c r="FI227" s="110">
        <f t="shared" si="1709"/>
        <v>2.0946317561079946</v>
      </c>
      <c r="FJ227" s="110">
        <f>IF(SeilBeregnet=0,"-",FJ$7*(FL:FL+FJ$6)*FO:FO*PropF+ErfaringsF+Dyp_F)</f>
        <v>1.1628805083650484</v>
      </c>
      <c r="FK227" s="144">
        <f t="shared" ref="FK227" si="1852">IF($DQ227=0,"-",(FJ227-$DO227)*100)</f>
        <v>2.1660770593649348</v>
      </c>
      <c r="FL227" s="110">
        <f>(FM:FM*FN:FN)^FL$3</f>
        <v>6.6763810078390051</v>
      </c>
      <c r="FM227" s="136">
        <f t="shared" si="1710"/>
        <v>2.8523595428084287</v>
      </c>
      <c r="FN227" s="136">
        <f t="shared" si="1711"/>
        <v>2.3406519787002207</v>
      </c>
      <c r="FO227" s="110">
        <f t="shared" si="1712"/>
        <v>2.0946317561079946</v>
      </c>
      <c r="FQ227" s="374">
        <v>1</v>
      </c>
      <c r="FR227" s="64">
        <f t="shared" si="1678"/>
        <v>1.372183660494166</v>
      </c>
      <c r="FS227" s="479"/>
      <c r="FT227" s="18"/>
      <c r="FU227" s="481"/>
      <c r="FV227" s="504"/>
      <c r="FW227" s="18"/>
      <c r="FX227" s="18"/>
      <c r="FY227" s="18"/>
      <c r="FZ227" s="18"/>
      <c r="GB227" s="18"/>
      <c r="GC227" s="481"/>
      <c r="GD227" s="8"/>
      <c r="GE227" s="8"/>
      <c r="GF227" s="8"/>
      <c r="GG227" s="8"/>
      <c r="GI227" s="18"/>
      <c r="GJ227" s="18"/>
      <c r="GK227" s="18"/>
      <c r="GL227" s="18"/>
      <c r="GM227" s="18"/>
      <c r="GN227" s="18"/>
      <c r="GO227" s="18"/>
      <c r="GP227" s="18"/>
    </row>
    <row r="228" spans="1:198" ht="15.6" x14ac:dyDescent="0.3">
      <c r="A228" s="54" t="s">
        <v>299</v>
      </c>
      <c r="B228" s="223">
        <f t="shared" si="199"/>
        <v>0</v>
      </c>
      <c r="C228" s="55" t="s">
        <v>41</v>
      </c>
      <c r="D228" s="55"/>
      <c r="E228" s="55"/>
      <c r="F228" s="55"/>
      <c r="G228" s="56"/>
      <c r="H228" s="209"/>
      <c r="I228" s="126" t="str">
        <f>A228</f>
        <v>Victoria</v>
      </c>
      <c r="J228" s="229"/>
      <c r="K228" s="119"/>
      <c r="L228" s="119"/>
      <c r="M228" s="95"/>
      <c r="N228" s="265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270"/>
      <c r="AF228" s="296"/>
      <c r="AG228" s="377"/>
      <c r="AH228" s="296"/>
      <c r="AI228" s="377"/>
      <c r="AJ228" s="296" t="s">
        <v>240</v>
      </c>
      <c r="AK228" s="47">
        <f>VLOOKUP(AJ228,Skrogform!$1:$1048576,3,FALSE)</f>
        <v>1</v>
      </c>
      <c r="AL228" s="57"/>
      <c r="AM228" s="57"/>
      <c r="AN228" s="57"/>
      <c r="AO228" s="57"/>
      <c r="AP228" s="57"/>
      <c r="AQ228" s="57"/>
      <c r="AR228" s="57"/>
      <c r="AS228" s="281"/>
      <c r="AT228" s="282">
        <f>AS228*7</f>
        <v>0</v>
      </c>
      <c r="AU228" s="281">
        <f>ROUND(Depl*10,-2)</f>
        <v>0</v>
      </c>
      <c r="AV228" s="281">
        <f>ROUND(Depl*10,-2)</f>
        <v>0</v>
      </c>
      <c r="AW228" s="270">
        <f>Depl+Diesel/1000+Vann/1000</f>
        <v>0</v>
      </c>
      <c r="AX228" s="281"/>
      <c r="AY228" s="98" t="e">
        <f>Bredde/(Loa+Lwl)*2</f>
        <v>#DIV/0!</v>
      </c>
      <c r="AZ228" s="98" t="e">
        <f>(Kjøl+Ballast)/Depl</f>
        <v>#DIV/0!</v>
      </c>
      <c r="BA228" s="288" t="e">
        <f>BA$7*((Depl-Kjøl-Ballast-VektMotor/1000-VektAnnet/1000)/Loa/Lwl/Bredde)</f>
        <v>#DIV/0!</v>
      </c>
      <c r="BB228" s="98" t="e">
        <f>BB$7*(Depl/Loa/Lwl/Lwl)</f>
        <v>#DIV/0!</v>
      </c>
      <c r="BC228" s="178" t="e">
        <f>BC$7*(Depl/Loa/Lwl/Bredde)</f>
        <v>#DIV/0!</v>
      </c>
      <c r="BD228" s="98" t="e">
        <f>BD$7*Bredde/(Loa+Lwl)*2</f>
        <v>#DIV/0!</v>
      </c>
      <c r="BE228" s="98" t="e">
        <f>BE$7*(Dypg/Lwl)</f>
        <v>#DIV/0!</v>
      </c>
      <c r="BF228" s="58"/>
      <c r="BG228" s="296"/>
      <c r="BH228" s="296"/>
      <c r="BI228" s="47">
        <f>IF((BF228="Fast"),(1.006248-(0.06415*((BH228/100*SQRT(BG228))/POWER(AP228,(1/3))))),1)</f>
        <v>1</v>
      </c>
      <c r="BJ228" s="61"/>
      <c r="BK228" s="61"/>
      <c r="BM228" s="214"/>
      <c r="BN228" s="214" t="str">
        <f>$A228</f>
        <v>Victoria</v>
      </c>
      <c r="BO228" s="10"/>
      <c r="BP228" s="10"/>
      <c r="BQ228" s="10"/>
      <c r="BR228" s="10"/>
      <c r="BS228" s="52"/>
      <c r="BT228" s="214" t="str">
        <f>$A228</f>
        <v>Victoria</v>
      </c>
      <c r="BU228" s="10"/>
      <c r="BV228" s="10"/>
      <c r="BW228" s="10"/>
      <c r="BX228" s="10"/>
      <c r="BY228" s="10"/>
      <c r="BZ228" s="10"/>
      <c r="CA228" s="10"/>
      <c r="CB228" s="10"/>
      <c r="CC228" s="10"/>
      <c r="CD228" s="214"/>
      <c r="CE228" s="10"/>
      <c r="CF228" s="214" t="str">
        <f>$A228</f>
        <v>Victoria</v>
      </c>
      <c r="CG228" s="212"/>
      <c r="CH228" s="212"/>
      <c r="CI228" s="119"/>
      <c r="CJ228" s="212"/>
      <c r="CK228" s="208"/>
      <c r="CL228" s="208" t="s">
        <v>26</v>
      </c>
      <c r="CM228" s="110" t="str">
        <f t="shared" si="690"/>
        <v>-</v>
      </c>
      <c r="CN228" s="64" t="str">
        <f>IF(SeilBeregnet=0,"-",(SeilBeregnet)^(1/2)*StHfaktor/(Depl+DeplTillegg/1000+Vann/1000+Diesel/1000*0.84)^(1/3))</f>
        <v>-</v>
      </c>
      <c r="CO228" s="64" t="str">
        <f t="shared" si="659"/>
        <v>-</v>
      </c>
      <c r="CP228" s="64" t="str">
        <f t="shared" si="660"/>
        <v>-</v>
      </c>
      <c r="CQ228" s="110" t="str">
        <f t="shared" si="661"/>
        <v>-</v>
      </c>
      <c r="CR228" s="172" t="str">
        <f>IF(CS228=0,"-",IF(CH228="TBF","-",CR$7*CS228))</f>
        <v>-</v>
      </c>
      <c r="CS228" s="162"/>
      <c r="CT228" s="172" t="str">
        <f>IF(CU228=0,"-",IF(CL228="TBF","-",CT$7*CU228))</f>
        <v>-</v>
      </c>
      <c r="CU228" s="164"/>
      <c r="CV228" s="195" t="s">
        <v>145</v>
      </c>
      <c r="CW228" s="30" t="s">
        <v>26</v>
      </c>
      <c r="CX228" s="30" t="s">
        <v>26</v>
      </c>
      <c r="CY228" s="30" t="s">
        <v>26</v>
      </c>
      <c r="CZ228" s="153">
        <v>2022</v>
      </c>
      <c r="DA228" s="64" t="str">
        <f t="shared" si="664"/>
        <v>-</v>
      </c>
      <c r="DB228" s="49">
        <f t="shared" si="665"/>
        <v>0</v>
      </c>
      <c r="DC228" s="50">
        <f>DB$7*IF(DB228&lt;DB$5,-0.04,IF(DB228&lt;DB$5*1.1,-0.03,IF(DB228&lt;DB$5*1.2,-0.02,IF(DB228&lt;DB$5*1.3,-0.01,0))))</f>
        <v>0</v>
      </c>
      <c r="DE228" s="110" t="str">
        <f>IF(SeilBeregnet=0,"-",DE$7*(DG:DG+DE$6)*DL:DL*PropF+ErfaringsF+Dyp_F)</f>
        <v>-</v>
      </c>
      <c r="DF228" s="144" t="str">
        <f>IF($DQ228=0,"-",(DE228-$DO228)*100)</f>
        <v>-</v>
      </c>
      <c r="DG228" s="110">
        <f>SUM(DH228:DK228)^DG$3+DG$7</f>
        <v>5.3832942165864397</v>
      </c>
      <c r="DH228" s="136">
        <f>IF(SeilBeregnet=0,DH36,(SeilBeregnet^0.5/(Depl^0.3333))^DH$3*DH$7)</f>
        <v>3.5186912599100024</v>
      </c>
      <c r="DI228" s="136">
        <f>IF(SeilBeregnet=0,DI36,(SeilBeregnet^0.5/Lwl)^DI$3*DI$7)</f>
        <v>0</v>
      </c>
      <c r="DJ228" s="136">
        <f>IF(SeilBeregnet=0,DJ36,(0.1*Loa/Depl^0.3333)^DJ$3*DJ$7)</f>
        <v>0</v>
      </c>
      <c r="DK228" s="136">
        <f>IF(SeilBeregnet=0,DK36,((Loa)/Bredde)^DK$3*DK$7)</f>
        <v>1.8646029566764373</v>
      </c>
      <c r="DL228" s="110">
        <f>IF(SeilBeregnet=0,DL36,(Lwl)^DL$3)</f>
        <v>1.8859172433475835</v>
      </c>
      <c r="DM228" s="136">
        <f>IF(SeilBeregnet=0,DM36,(Dypg/Loa)^DM$3*5*DM$7)</f>
        <v>2.0446520502738266</v>
      </c>
      <c r="DO228" s="110" t="str">
        <f t="shared" si="669"/>
        <v>-</v>
      </c>
      <c r="DP228" s="110" t="str">
        <f t="shared" si="670"/>
        <v>-</v>
      </c>
      <c r="DR228" s="110" t="str">
        <f t="shared" si="671"/>
        <v>-</v>
      </c>
      <c r="DS228" s="125" t="str">
        <f>IF($DQ228=0,"-",DR228-$DO228)</f>
        <v>-</v>
      </c>
      <c r="DT228" s="110" t="str">
        <f>IF(SeilBeregnet=0,"-",DT$7*(DT$4*DV228*DW228*DX228*PropF+DT$6)+ErfaringsF+Dyp_F)</f>
        <v>-</v>
      </c>
      <c r="DU228" s="125" t="str">
        <f>IF($DQ228=0,"-",DT228-$DO228)</f>
        <v>-</v>
      </c>
      <c r="DV228" s="110">
        <f>IF(SeilBeregnet=0,DV36,SeilBeregnet^0.5/Depl^0.33333)</f>
        <v>3.5183395275243732</v>
      </c>
      <c r="DW228" s="110">
        <f>IF(SeilBeregnet=0,DW36,Lwl^0.3333)</f>
        <v>2.3298436208665341</v>
      </c>
      <c r="DX228" s="110">
        <f>IF(SeilBeregnet=0,DX36,((Loa+Lwl)/Bredde)^DX$3)</f>
        <v>1.5916961163398649</v>
      </c>
      <c r="DZ228" s="110" t="str">
        <f>IF(SeilBeregnet=0,"-",DZ$7*(DZ$4*EB228*EC228*ED228*PropF+DZ$6)+ErfaringsF+Dyp_F)</f>
        <v>-</v>
      </c>
      <c r="EB228" s="110">
        <f>IF(SeilBeregnet=0,EB36,SeilBeregnet^0.5/Depl^0.33333)</f>
        <v>3.5183395275243732</v>
      </c>
      <c r="EC228" s="110">
        <f>IF(SeilBeregnet=0,EC36,Lwl^EC$3)</f>
        <v>2.3300209979525235</v>
      </c>
      <c r="ED228" s="110">
        <f>IF(SeilBeregnet=0,ED36,((Loa+Lwl)/Bredde)^ED$3)</f>
        <v>1.8583176886572534</v>
      </c>
      <c r="EE228" s="110" t="str">
        <f>IF(SeilBeregnet=0,"-",EE$7*(EE$4*EG228+EE$6)*EJ228*PropF+ErfaringsF+Dyp_F)</f>
        <v>-</v>
      </c>
      <c r="EG228" s="110">
        <f>IF(SeilBeregnet=0,EG36,(EH228*EI228)^EG$3)</f>
        <v>5.6001273619255798</v>
      </c>
      <c r="EH228" s="110">
        <f>IF(SeilBeregnet=0,EH36,SeilBeregnet^0.5/Depl^0.33333)</f>
        <v>3.5183395275243732</v>
      </c>
      <c r="EI228" s="110">
        <f>IF(SeilBeregnet=0,EI36,((Loa+Lwl)/Bredde)^EI$3)</f>
        <v>1.5916961163398649</v>
      </c>
      <c r="EJ228" s="110">
        <f>IF(SeilBeregnet=0,EJ36,Lwl^EJ$3)</f>
        <v>1.8859172433475835</v>
      </c>
      <c r="EK228" s="110" t="str">
        <f>IF(SeilBeregnet=0,"-",EK$7*(EK$4*EM:EM+EK$6)*EP:EP*PropF+ErfaringsF+Dyp_F)</f>
        <v>-</v>
      </c>
      <c r="EM228" s="110">
        <f>IF(SeilBeregnet=0,EM36,(EN:EN*EO:EO)^EM$3)</f>
        <v>1.8916032249928152</v>
      </c>
      <c r="EN228" s="110">
        <f>IF(SeilBeregnet=0,EN36,SeilBeregnet^0.5/Depl^0.33333)</f>
        <v>3.5183395275243732</v>
      </c>
      <c r="EO228" s="110">
        <f>IF(SeilBeregnet=0,EO36,((Loa+Lwl)/Bredde/6)^EO$3)</f>
        <v>1.0170032575909294</v>
      </c>
      <c r="EP228" s="110">
        <f>IF(SeilBeregnet=0,EP36,(Lwl*0.7+Loa*0.3)^EP$3)</f>
        <v>1.9111244003334622</v>
      </c>
      <c r="EQ228" s="110" t="str">
        <f>IF(SeilBeregnet=0,"-",EQ$7*(ES:ES+EQ$6)*EV:EV*PropF+ErfaringsF+Dyp_F)</f>
        <v>-</v>
      </c>
      <c r="ES228" s="110">
        <f>(ET:ET*EU:EU)^ES$3</f>
        <v>1.8916977754877242</v>
      </c>
      <c r="ET228" s="110">
        <f>IF(SeilBeregnet=0,ET36,SeilBeregnet^0.5/Depl^0.3333)</f>
        <v>3.5186912599100024</v>
      </c>
      <c r="EU228" s="110">
        <f>IF(SeilBeregnet=0,EU36,((Loa+Lwl)/Bredde/6)^EU$3)</f>
        <v>1.0170032575909294</v>
      </c>
      <c r="EV228" s="110">
        <f>IF(SeilBeregnet=0,EV36,(Lwl*0.7+Loa*0.3)^EV$3)</f>
        <v>1.9111244003334622</v>
      </c>
      <c r="EW228" s="110" t="str">
        <f>IF(SeilBeregnet=0,"-",EW$7*(EY:EY+EW$6)*FB:FB*PropF+ErfaringsF+Dyp_F)</f>
        <v>-</v>
      </c>
      <c r="EX228" s="144" t="str">
        <f>IF($DQ228=0,"-",(EW228-$DO228)*100)</f>
        <v>-</v>
      </c>
      <c r="EY228" s="110">
        <f>(EZ:EZ*FA:FA)^EY$3</f>
        <v>3.6393669791953887</v>
      </c>
      <c r="EZ228" s="136">
        <f>IF(SeilBeregnet=0,EZ36,(SeilBeregnet^0.5/(Depl^0.3333))^EZ$3)</f>
        <v>3.5186912599100024</v>
      </c>
      <c r="FA228" s="136">
        <f>IF(SeilBeregnet=0,FA36,((Loa+Lwl)/Bredde/6)^FA$3)</f>
        <v>1.0342956259505622</v>
      </c>
      <c r="FB228" s="110">
        <f>IF(SeilBeregnet=0,FB36,(Lwl*0.07+Loa*0.03)^FB$3)</f>
        <v>1.0747042278871302</v>
      </c>
      <c r="FC228" s="110" t="str">
        <f>IF(SeilBeregnet=0,"-",FC$7*(FE:FE+FC$6)*FI:FI*PropF+ErfaringsF+Dyp_F)</f>
        <v>-</v>
      </c>
      <c r="FD228" s="144" t="str">
        <f>IF($DQ228=0,"-",(FC228-$DO228)*100)</f>
        <v>-</v>
      </c>
      <c r="FE228" s="110">
        <f>(FF:FF+FG:FG+FH:FH)^FE$3+FE$7</f>
        <v>5.7278501328796771</v>
      </c>
      <c r="FF228" s="136">
        <f>IF(SeilBeregnet=0,FF36,(SeilBeregnet^0.5/(Depl^0.3333))^FF$3)</f>
        <v>3.5186912599100024</v>
      </c>
      <c r="FG228" s="136">
        <f>IF(SeilBeregnet=0,FG36,(SeilBeregnet^0.5/Lwl*FG$7)^FG$3)</f>
        <v>0.8445559162932379</v>
      </c>
      <c r="FH228" s="136">
        <f>IF(SeilBeregnet=0,FH36,((Loa)/Bredde)^FH$3*FH$7)</f>
        <v>1.8646029566764373</v>
      </c>
      <c r="FI228" s="110">
        <f>IF(SeilBeregnet=0,FI36,(Lwl)^FI$3)</f>
        <v>1.8859172433475835</v>
      </c>
      <c r="FJ228" s="110" t="str">
        <f>IF(SeilBeregnet=0,"-",FJ$7*(FL:FL+FJ$6)*FO:FO*PropF+ErfaringsF+Dyp_F)</f>
        <v>-</v>
      </c>
      <c r="FK228" s="144" t="str">
        <f>IF($DQ228=0,"-",(FJ228-$DO228)*100)</f>
        <v>-</v>
      </c>
      <c r="FL228" s="110">
        <f>(FM:FM*FN:FN)^FL$3</f>
        <v>6.5609621268597289</v>
      </c>
      <c r="FM228" s="136">
        <f>IF(SeilBeregnet=0,FM36,(SeilBeregnet^0.5/(Depl^0.3333))^FM$3)</f>
        <v>3.5186912599100024</v>
      </c>
      <c r="FN228" s="136">
        <f>IF(SeilBeregnet=0,FN36,(Loa/Bredde)^FN$3)</f>
        <v>1.8646029566764373</v>
      </c>
      <c r="FO228" s="110">
        <f>IF(SeilBeregnet=0,FO36,Lwl^FO$3)</f>
        <v>1.8859172433475835</v>
      </c>
      <c r="FQ228" s="374">
        <v>1</v>
      </c>
      <c r="FR228" s="64" t="str">
        <f t="shared" ref="FR228:FR235" si="1853">IF(SeilBeregnet=0,"-",0.06*2.43^(1/2)*(SeilBeregnet^(1/2)/Depl^(1/3)+(Loa/Bredde)^(1/2)+5*(Dypg/Loa)^(1/2))*Lwl^(1/4)*FQ228)</f>
        <v>-</v>
      </c>
      <c r="FS228" s="480" t="s">
        <v>672</v>
      </c>
      <c r="FT228" s="59" t="s">
        <v>2</v>
      </c>
      <c r="FU228" s="475" t="s">
        <v>673</v>
      </c>
      <c r="FV228" s="77" t="s">
        <v>674</v>
      </c>
      <c r="FW228" s="59" t="s">
        <v>675</v>
      </c>
      <c r="FX228" s="59" t="s">
        <v>676</v>
      </c>
      <c r="FY228" s="59" t="s">
        <v>452</v>
      </c>
      <c r="FZ228" s="59" t="s">
        <v>522</v>
      </c>
      <c r="GB228" s="59" t="s">
        <v>522</v>
      </c>
      <c r="GC228" s="475" t="s">
        <v>522</v>
      </c>
      <c r="GD228" s="60" t="s">
        <v>522</v>
      </c>
      <c r="GE228" s="60" t="s">
        <v>522</v>
      </c>
      <c r="GF228" s="60" t="s">
        <v>522</v>
      </c>
      <c r="GG228" s="60" t="s">
        <v>522</v>
      </c>
      <c r="GI228" s="59"/>
      <c r="GJ228" s="59"/>
      <c r="GK228" s="59"/>
      <c r="GL228" s="59"/>
      <c r="GM228" s="59"/>
      <c r="GN228" s="59"/>
      <c r="GO228" s="59"/>
      <c r="GP228" s="59"/>
    </row>
    <row r="229" spans="1:198" ht="15.6" x14ac:dyDescent="0.3">
      <c r="A229" s="62" t="s">
        <v>36</v>
      </c>
      <c r="B229" s="223"/>
      <c r="C229" s="63" t="str">
        <f>C228</f>
        <v>Bermuda</v>
      </c>
      <c r="D229" s="63"/>
      <c r="E229" s="63"/>
      <c r="F229" s="63"/>
      <c r="G229" s="56"/>
      <c r="H229" s="209" t="e">
        <f>TBFavrundet</f>
        <v>#VALUE!</v>
      </c>
      <c r="I229" s="65">
        <f>COUNTA(O229:AD229)</f>
        <v>0</v>
      </c>
      <c r="J229" s="228">
        <f>SUM(O229:AD229)</f>
        <v>0</v>
      </c>
      <c r="K229" s="119" t="e">
        <f>Seilareal/Depl^0.667/K$7</f>
        <v>#DIV/0!</v>
      </c>
      <c r="L229" s="119" t="e">
        <f>Seilareal/Lwl/Lwl/L$7</f>
        <v>#DIV/0!</v>
      </c>
      <c r="M229" s="95" t="e">
        <f>RiggF</f>
        <v>#DIV/0!</v>
      </c>
      <c r="N229" s="265" t="str">
        <f>StHfaktor</f>
        <v>-</v>
      </c>
      <c r="O229" s="147"/>
      <c r="P229" s="147"/>
      <c r="Q229" s="147"/>
      <c r="R229" s="147"/>
      <c r="S229" s="147"/>
      <c r="T229" s="147"/>
      <c r="U229" s="148"/>
      <c r="V229" s="148"/>
      <c r="W229" s="148"/>
      <c r="X229" s="148"/>
      <c r="Y229" s="147"/>
      <c r="Z229" s="147"/>
      <c r="AA229" s="147"/>
      <c r="AB229" s="147"/>
      <c r="AC229" s="147"/>
      <c r="AD229" s="148"/>
      <c r="AE229" s="260">
        <f t="shared" ref="AE229" si="1854">AE228</f>
        <v>0</v>
      </c>
      <c r="AF229" s="375">
        <f t="shared" ref="AF229:AH230" si="1855" xml:space="preserve"> AF228</f>
        <v>0</v>
      </c>
      <c r="AG229" s="377"/>
      <c r="AH229" s="375">
        <f t="shared" si="1855"/>
        <v>0</v>
      </c>
      <c r="AI229" s="377"/>
      <c r="AJ229" s="295" t="str">
        <f t="shared" ref="AJ229:AJ230" si="1856" xml:space="preserve"> AJ228</f>
        <v>Meter</v>
      </c>
      <c r="AK229" s="47">
        <f>VLOOKUP(AJ229,Skrogform!$1:$1048576,3,FALSE)</f>
        <v>1</v>
      </c>
      <c r="AL229" s="66">
        <f t="shared" ref="AL229:AT229" si="1857">AL228</f>
        <v>0</v>
      </c>
      <c r="AM229" s="66">
        <f t="shared" si="1857"/>
        <v>0</v>
      </c>
      <c r="AN229" s="66">
        <f t="shared" si="1857"/>
        <v>0</v>
      </c>
      <c r="AO229" s="66">
        <f t="shared" si="1857"/>
        <v>0</v>
      </c>
      <c r="AP229" s="66">
        <f t="shared" si="1857"/>
        <v>0</v>
      </c>
      <c r="AQ229" s="66">
        <f t="shared" si="1857"/>
        <v>0</v>
      </c>
      <c r="AR229" s="66">
        <f t="shared" si="1857"/>
        <v>0</v>
      </c>
      <c r="AS229" s="284">
        <f t="shared" si="1857"/>
        <v>0</v>
      </c>
      <c r="AT229" s="284">
        <f t="shared" si="1857"/>
        <v>0</v>
      </c>
      <c r="AU229" s="284">
        <f t="shared" ref="AU229:AV229" si="1858">AU228</f>
        <v>0</v>
      </c>
      <c r="AV229" s="284">
        <f t="shared" si="1858"/>
        <v>0</v>
      </c>
      <c r="AW229" s="284"/>
      <c r="AX229" s="284">
        <f>AX228</f>
        <v>0</v>
      </c>
      <c r="AY229" s="68"/>
      <c r="AZ229" s="68"/>
      <c r="BA229" s="289"/>
      <c r="BB229" s="68"/>
      <c r="BC229" s="179"/>
      <c r="BD229" s="68"/>
      <c r="BE229" s="68"/>
      <c r="BF229" s="67">
        <f t="shared" ref="BF229:BH229" si="1859" xml:space="preserve"> BF228</f>
        <v>0</v>
      </c>
      <c r="BG229" s="295">
        <f t="shared" si="1859"/>
        <v>0</v>
      </c>
      <c r="BH229" s="295">
        <f t="shared" si="1859"/>
        <v>0</v>
      </c>
      <c r="BI229" s="47">
        <f>IF((BF229="Fast"),(1.006248-(0.06415*((BH229/100*SQRT(BG229))/POWER(AP229,(1/3))))),1)</f>
        <v>1</v>
      </c>
      <c r="BJ229" s="61"/>
      <c r="BK229" s="61"/>
      <c r="BM229" s="51">
        <f t="shared" ref="BM229:BR230" si="1860">IF(O229=0,0,O229*BM$9)</f>
        <v>0</v>
      </c>
      <c r="BN229" s="51">
        <f t="shared" si="1860"/>
        <v>0</v>
      </c>
      <c r="BO229" s="51">
        <f t="shared" si="1860"/>
        <v>0</v>
      </c>
      <c r="BP229" s="51">
        <f t="shared" si="1860"/>
        <v>0</v>
      </c>
      <c r="BQ229" s="51">
        <f t="shared" si="1860"/>
        <v>0</v>
      </c>
      <c r="BR229" s="51">
        <f t="shared" si="1860"/>
        <v>0</v>
      </c>
      <c r="BS229" s="52">
        <f>IF(COUNT(P229:T229)&gt;1,MINA(P229:T229)*BS$9,0)</f>
        <v>0</v>
      </c>
      <c r="BT229" s="88">
        <f t="shared" ref="BT229:CC230" si="1861">IF(U229=0,0,U229*BT$9)</f>
        <v>0</v>
      </c>
      <c r="BU229" s="88">
        <f t="shared" si="1861"/>
        <v>0</v>
      </c>
      <c r="BV229" s="88">
        <f t="shared" si="1861"/>
        <v>0</v>
      </c>
      <c r="BW229" s="88">
        <f t="shared" si="1861"/>
        <v>0</v>
      </c>
      <c r="BX229" s="88">
        <f t="shared" si="1861"/>
        <v>0</v>
      </c>
      <c r="BY229" s="88">
        <f t="shared" si="1861"/>
        <v>0</v>
      </c>
      <c r="BZ229" s="88">
        <f t="shared" si="1861"/>
        <v>0</v>
      </c>
      <c r="CA229" s="88">
        <f t="shared" si="1861"/>
        <v>0</v>
      </c>
      <c r="CB229" s="88">
        <f t="shared" si="1861"/>
        <v>0</v>
      </c>
      <c r="CC229" s="88">
        <f t="shared" si="1861"/>
        <v>0</v>
      </c>
      <c r="CD229" s="103">
        <f>SUM(BM229:CC229)</f>
        <v>0</v>
      </c>
      <c r="CE229" s="52"/>
      <c r="CF229" s="107">
        <f>J229</f>
        <v>0</v>
      </c>
      <c r="CG229" s="104" t="e">
        <f>CD229/CF229</f>
        <v>#DIV/0!</v>
      </c>
      <c r="CH229" s="53" t="e">
        <f>Seilareal/Lwl/Lwl</f>
        <v>#DIV/0!</v>
      </c>
      <c r="CI229" s="119" t="e">
        <f>Seilareal/Depl^0.667/K$7</f>
        <v>#DIV/0!</v>
      </c>
      <c r="CJ229" s="53" t="e">
        <f>Seilareal/Lwl/Lwl/SApRS1</f>
        <v>#DIV/0!</v>
      </c>
      <c r="CK229" s="209"/>
      <c r="CL229" s="209" t="e">
        <f>(ROUND(TBF/CL$6,3)*CL$6)*CL$4</f>
        <v>#VALUE!</v>
      </c>
      <c r="CM229" s="110" t="str">
        <f t="shared" si="690"/>
        <v>-</v>
      </c>
      <c r="CN229" s="64" t="str">
        <f>IF(SeilBeregnet=0,"-",(SeilBeregnet)^(1/2)*StHfaktor/(Depl+DeplTillegg/1000+Vann/1000+Diesel/1000*0.84)^(1/3))</f>
        <v>-</v>
      </c>
      <c r="CO229" s="64" t="str">
        <f t="shared" si="659"/>
        <v>-</v>
      </c>
      <c r="CP229" s="64" t="str">
        <f t="shared" si="660"/>
        <v>-</v>
      </c>
      <c r="CQ229" s="110" t="str">
        <f t="shared" si="661"/>
        <v>-</v>
      </c>
      <c r="CR229" s="172" t="str">
        <f>IF(CS229=0,"-",IF(CH229="TBF","-",CR$7*CS229))</f>
        <v>-</v>
      </c>
      <c r="CS229" s="163">
        <f>CS228</f>
        <v>0</v>
      </c>
      <c r="CT229" s="172" t="str">
        <f>IF(CU229=0,"-",IF(CL229="TBF","-",CT$7*CU229))</f>
        <v>-</v>
      </c>
      <c r="CU229" s="163">
        <f>CU228</f>
        <v>0</v>
      </c>
      <c r="CV229" s="195" t="s">
        <v>145</v>
      </c>
      <c r="CW229" s="64" t="s">
        <v>111</v>
      </c>
      <c r="CX229" s="64" t="s">
        <v>111</v>
      </c>
      <c r="CY229" s="64" t="s">
        <v>111</v>
      </c>
      <c r="CZ229" s="154" t="s">
        <v>111</v>
      </c>
      <c r="DA229" s="64" t="str">
        <f t="shared" si="664"/>
        <v>-</v>
      </c>
      <c r="DB229" s="49">
        <f t="shared" si="665"/>
        <v>0</v>
      </c>
      <c r="DC229" s="50">
        <f>DB$7*IF(DB229&lt;DB$5,-0.04,IF(DB229&lt;DB$5*1.1,-0.03,IF(DB229&lt;DB$5*1.2,-0.02,IF(DB229&lt;DB$5*1.3,-0.01,0))))</f>
        <v>0</v>
      </c>
      <c r="DE229" s="110" t="str">
        <f>IF(SeilBeregnet=0,"-",DE$7*(DG:DG+DE$6)*DL:DL*PropF+ErfaringsF+Dyp_F)</f>
        <v>-</v>
      </c>
      <c r="DF229" s="144" t="str">
        <f>IF($DQ229=0,"-",(DE229-$DO229)*100)</f>
        <v>-</v>
      </c>
      <c r="DG229" s="110">
        <f>SUM(DH229:DK229)^DG$3+DG$7</f>
        <v>5.3832942165864397</v>
      </c>
      <c r="DH229" s="136">
        <f>IF(SeilBeregnet=0,DH228,(SeilBeregnet^0.5/(Depl^0.3333))^DH$3*DH$7)</f>
        <v>3.5186912599100024</v>
      </c>
      <c r="DI229" s="136">
        <f>IF(SeilBeregnet=0,DI228,(SeilBeregnet^0.5/Lwl)^DI$3*DI$7)</f>
        <v>0</v>
      </c>
      <c r="DJ229" s="136">
        <f>IF(SeilBeregnet=0,DJ228,(0.1*Loa/Depl^0.3333)^DJ$3*DJ$7)</f>
        <v>0</v>
      </c>
      <c r="DK229" s="136">
        <f>IF(SeilBeregnet=0,DK228,((Loa)/Bredde)^DK$3*DK$7)</f>
        <v>1.8646029566764373</v>
      </c>
      <c r="DL229" s="110">
        <f>IF(SeilBeregnet=0,DL228,(Lwl)^DL$3)</f>
        <v>1.8859172433475835</v>
      </c>
      <c r="DM229" s="136">
        <f>IF(SeilBeregnet=0,DM228,(Dypg/Loa)^DM$3*5*DM$7)</f>
        <v>2.0446520502738266</v>
      </c>
      <c r="DO229" s="110" t="str">
        <f t="shared" si="669"/>
        <v>-</v>
      </c>
      <c r="DP229" s="110" t="str">
        <f t="shared" si="670"/>
        <v>-</v>
      </c>
      <c r="DR229" s="110" t="str">
        <f t="shared" si="671"/>
        <v>-</v>
      </c>
      <c r="DS229" s="125" t="str">
        <f>IF($DQ229=0,"-",DR229-$DO229)</f>
        <v>-</v>
      </c>
      <c r="DT229" s="110" t="str">
        <f>IF(SeilBeregnet=0,"-",DT$7*(DT$4*DV229*DW229*DX229*PropF+DT$6)+ErfaringsF+Dyp_F)</f>
        <v>-</v>
      </c>
      <c r="DU229" s="125" t="str">
        <f>IF($DQ229=0,"-",DT229-$DO229)</f>
        <v>-</v>
      </c>
      <c r="DV229" s="110">
        <f>IF(SeilBeregnet=0,DV228,SeilBeregnet^0.5/Depl^0.33333)</f>
        <v>3.5183395275243732</v>
      </c>
      <c r="DW229" s="110">
        <f>IF(SeilBeregnet=0,DW228,Lwl^0.3333)</f>
        <v>2.3298436208665341</v>
      </c>
      <c r="DX229" s="110">
        <f>IF(SeilBeregnet=0,DX228,((Loa+Lwl)/Bredde)^DX$3)</f>
        <v>1.5916961163398649</v>
      </c>
      <c r="DZ229" s="110" t="str">
        <f>IF(SeilBeregnet=0,"-",DZ$7*(DZ$4*EB229*EC229*ED229*PropF+DZ$6)+ErfaringsF+Dyp_F)</f>
        <v>-</v>
      </c>
      <c r="EB229" s="110">
        <f>IF(SeilBeregnet=0,EB228,SeilBeregnet^0.5/Depl^0.33333)</f>
        <v>3.5183395275243732</v>
      </c>
      <c r="EC229" s="110">
        <f>IF(SeilBeregnet=0,EC228,Lwl^EC$3)</f>
        <v>2.3300209979525235</v>
      </c>
      <c r="ED229" s="110">
        <f>IF(SeilBeregnet=0,ED228,((Loa+Lwl)/Bredde)^ED$3)</f>
        <v>1.8583176886572534</v>
      </c>
      <c r="EE229" s="110" t="str">
        <f>IF(SeilBeregnet=0,"-",EE$7*(EE$4*EG229+EE$6)*EJ229*PropF+ErfaringsF+Dyp_F)</f>
        <v>-</v>
      </c>
      <c r="EG229" s="110">
        <f>IF(SeilBeregnet=0,EG228,(EH229*EI229)^EG$3)</f>
        <v>5.6001273619255798</v>
      </c>
      <c r="EH229" s="110">
        <f>IF(SeilBeregnet=0,EH228,SeilBeregnet^0.5/Depl^0.33333)</f>
        <v>3.5183395275243732</v>
      </c>
      <c r="EI229" s="110">
        <f>IF(SeilBeregnet=0,EI228,((Loa+Lwl)/Bredde)^EI$3)</f>
        <v>1.5916961163398649</v>
      </c>
      <c r="EJ229" s="110">
        <f>IF(SeilBeregnet=0,EJ228,Lwl^EJ$3)</f>
        <v>1.8859172433475835</v>
      </c>
      <c r="EK229" s="110" t="str">
        <f>IF(SeilBeregnet=0,"-",EK$7*(EK$4*EM:EM+EK$6)*EP:EP*PropF+ErfaringsF+Dyp_F)</f>
        <v>-</v>
      </c>
      <c r="EM229" s="110">
        <f>IF(SeilBeregnet=0,EM228,(EN:EN*EO:EO)^EM$3)</f>
        <v>1.8916032249928152</v>
      </c>
      <c r="EN229" s="110">
        <f>IF(SeilBeregnet=0,EN228,SeilBeregnet^0.5/Depl^0.33333)</f>
        <v>3.5183395275243732</v>
      </c>
      <c r="EO229" s="110">
        <f>IF(SeilBeregnet=0,EO228,((Loa+Lwl)/Bredde/6)^EO$3)</f>
        <v>1.0170032575909294</v>
      </c>
      <c r="EP229" s="110">
        <f>IF(SeilBeregnet=0,EP228,(Lwl*0.7+Loa*0.3)^EP$3)</f>
        <v>1.9111244003334622</v>
      </c>
      <c r="EQ229" s="110" t="str">
        <f>IF(SeilBeregnet=0,"-",EQ$7*(ES:ES+EQ$6)*EV:EV*PropF+ErfaringsF+Dyp_F)</f>
        <v>-</v>
      </c>
      <c r="ES229" s="110">
        <f>(ET:ET*EU:EU)^ES$3</f>
        <v>1.8916977754877242</v>
      </c>
      <c r="ET229" s="110">
        <f>IF(SeilBeregnet=0,ET228,SeilBeregnet^0.5/Depl^0.3333)</f>
        <v>3.5186912599100024</v>
      </c>
      <c r="EU229" s="110">
        <f>IF(SeilBeregnet=0,EU228,((Loa+Lwl)/Bredde/6)^EU$3)</f>
        <v>1.0170032575909294</v>
      </c>
      <c r="EV229" s="110">
        <f>IF(SeilBeregnet=0,EV228,(Lwl*0.7+Loa*0.3)^EV$3)</f>
        <v>1.9111244003334622</v>
      </c>
      <c r="EW229" s="110" t="str">
        <f>IF(SeilBeregnet=0,"-",EW$7*(EY:EY+EW$6)*FB:FB*PropF+ErfaringsF+Dyp_F)</f>
        <v>-</v>
      </c>
      <c r="EX229" s="144" t="str">
        <f>IF($DQ229=0,"-",(EW229-$DO229)*100)</f>
        <v>-</v>
      </c>
      <c r="EY229" s="110">
        <f>(EZ:EZ*FA:FA)^EY$3</f>
        <v>3.6393669791953887</v>
      </c>
      <c r="EZ229" s="136">
        <f>IF(SeilBeregnet=0,EZ228,(SeilBeregnet^0.5/(Depl^0.3333))^EZ$3)</f>
        <v>3.5186912599100024</v>
      </c>
      <c r="FA229" s="136">
        <f>IF(SeilBeregnet=0,FA228,((Loa+Lwl)/Bredde/6)^FA$3)</f>
        <v>1.0342956259505622</v>
      </c>
      <c r="FB229" s="110">
        <f>IF(SeilBeregnet=0,FB228,(Lwl*0.07+Loa*0.03)^FB$3)</f>
        <v>1.0747042278871302</v>
      </c>
      <c r="FC229" s="110" t="str">
        <f>IF(SeilBeregnet=0,"-",FC$7*(FE:FE+FC$6)*FI:FI*PropF+ErfaringsF+Dyp_F)</f>
        <v>-</v>
      </c>
      <c r="FD229" s="144" t="str">
        <f>IF($DQ229=0,"-",(FC229-$DO229)*100)</f>
        <v>-</v>
      </c>
      <c r="FE229" s="110">
        <f>(FF:FF+FG:FG+FH:FH)^FE$3+FE$7</f>
        <v>5.7278501328796771</v>
      </c>
      <c r="FF229" s="136">
        <f>IF(SeilBeregnet=0,FF228,(SeilBeregnet^0.5/(Depl^0.3333))^FF$3)</f>
        <v>3.5186912599100024</v>
      </c>
      <c r="FG229" s="136">
        <f>IF(SeilBeregnet=0,FG228,(SeilBeregnet^0.5/Lwl*FG$7)^FG$3)</f>
        <v>0.8445559162932379</v>
      </c>
      <c r="FH229" s="136">
        <f>IF(SeilBeregnet=0,FH228,((Loa)/Bredde)^FH$3*FH$7)</f>
        <v>1.8646029566764373</v>
      </c>
      <c r="FI229" s="110">
        <f>IF(SeilBeregnet=0,FI228,(Lwl)^FI$3)</f>
        <v>1.8859172433475835</v>
      </c>
      <c r="FJ229" s="110" t="str">
        <f>IF(SeilBeregnet=0,"-",FJ$7*(FL:FL+FJ$6)*FO:FO*PropF+ErfaringsF+Dyp_F)</f>
        <v>-</v>
      </c>
      <c r="FK229" s="144" t="str">
        <f>IF($DQ229=0,"-",(FJ229-$DO229)*100)</f>
        <v>-</v>
      </c>
      <c r="FL229" s="110">
        <f>(FM:FM*FN:FN)^FL$3</f>
        <v>6.5609621268597289</v>
      </c>
      <c r="FM229" s="136">
        <f>IF(SeilBeregnet=0,FM228,(SeilBeregnet^0.5/(Depl^0.3333))^FM$3)</f>
        <v>3.5186912599100024</v>
      </c>
      <c r="FN229" s="136">
        <f>IF(SeilBeregnet=0,FN228,(Loa/Bredde)^FN$3)</f>
        <v>1.8646029566764373</v>
      </c>
      <c r="FO229" s="110">
        <f>IF(SeilBeregnet=0,FO228,Lwl^FO$3)</f>
        <v>1.8859172433475835</v>
      </c>
      <c r="FQ229" s="374">
        <v>1</v>
      </c>
      <c r="FR229" s="64" t="str">
        <f t="shared" si="1853"/>
        <v>-</v>
      </c>
      <c r="FS229" s="479"/>
      <c r="FT229" s="18"/>
      <c r="FU229" s="481"/>
      <c r="FV229" s="504"/>
      <c r="FW229" s="18"/>
      <c r="FX229" s="18"/>
      <c r="FY229" s="18"/>
      <c r="FZ229" s="18"/>
      <c r="GB229" s="18"/>
      <c r="GC229" s="481"/>
      <c r="GD229" s="8"/>
      <c r="GE229" s="8"/>
      <c r="GF229" s="8"/>
      <c r="GG229" s="8"/>
      <c r="GI229" s="18"/>
      <c r="GJ229" s="18"/>
      <c r="GK229" s="18"/>
      <c r="GL229" s="18"/>
      <c r="GM229" s="18"/>
      <c r="GN229" s="18"/>
      <c r="GO229" s="18"/>
      <c r="GP229" s="18"/>
    </row>
    <row r="230" spans="1:198" ht="15.6" x14ac:dyDescent="0.3">
      <c r="A230" s="62"/>
      <c r="B230" s="223"/>
      <c r="C230" s="63" t="str">
        <f t="shared" ref="C230" si="1862">C229</f>
        <v>Bermuda</v>
      </c>
      <c r="D230" s="63"/>
      <c r="E230" s="63"/>
      <c r="F230" s="63"/>
      <c r="G230" s="56"/>
      <c r="H230" s="209" t="e">
        <f>TBFavrundet</f>
        <v>#VALUE!</v>
      </c>
      <c r="I230" s="65">
        <f>COUNTA(O230:AD230)</f>
        <v>0</v>
      </c>
      <c r="J230" s="228">
        <f>SUM(O230:AD230)</f>
        <v>0</v>
      </c>
      <c r="K230" s="119" t="e">
        <f>Seilareal/Depl^0.667/K$7</f>
        <v>#DIV/0!</v>
      </c>
      <c r="L230" s="119" t="e">
        <f>Seilareal/Lwl/Lwl/L$7</f>
        <v>#DIV/0!</v>
      </c>
      <c r="M230" s="95" t="e">
        <f>RiggF</f>
        <v>#DIV/0!</v>
      </c>
      <c r="N230" s="265" t="str">
        <f>StHfaktor</f>
        <v>-</v>
      </c>
      <c r="O230" s="147"/>
      <c r="P230" s="147"/>
      <c r="Q230" s="147"/>
      <c r="R230" s="147"/>
      <c r="S230" s="147"/>
      <c r="T230" s="147"/>
      <c r="U230" s="148"/>
      <c r="V230" s="148"/>
      <c r="W230" s="148"/>
      <c r="X230" s="148"/>
      <c r="Y230" s="147"/>
      <c r="Z230" s="147"/>
      <c r="AA230" s="147"/>
      <c r="AB230" s="147"/>
      <c r="AC230" s="147"/>
      <c r="AD230" s="148"/>
      <c r="AE230" s="260">
        <f t="shared" ref="AE230" si="1863">AE229</f>
        <v>0</v>
      </c>
      <c r="AF230" s="375">
        <f t="shared" si="1855"/>
        <v>0</v>
      </c>
      <c r="AG230" s="377"/>
      <c r="AH230" s="375">
        <f t="shared" si="1855"/>
        <v>0</v>
      </c>
      <c r="AI230" s="377"/>
      <c r="AJ230" s="295" t="str">
        <f t="shared" si="1856"/>
        <v>Meter</v>
      </c>
      <c r="AK230" s="47">
        <f>VLOOKUP(AJ230,Skrogform!$1:$1048576,3,FALSE)</f>
        <v>1</v>
      </c>
      <c r="AL230" s="66">
        <f t="shared" ref="AL230:AT230" si="1864">AL229</f>
        <v>0</v>
      </c>
      <c r="AM230" s="66">
        <f t="shared" si="1864"/>
        <v>0</v>
      </c>
      <c r="AN230" s="66">
        <f t="shared" si="1864"/>
        <v>0</v>
      </c>
      <c r="AO230" s="66">
        <f t="shared" si="1864"/>
        <v>0</v>
      </c>
      <c r="AP230" s="66">
        <f t="shared" si="1864"/>
        <v>0</v>
      </c>
      <c r="AQ230" s="66">
        <f t="shared" si="1864"/>
        <v>0</v>
      </c>
      <c r="AR230" s="66">
        <f t="shared" si="1864"/>
        <v>0</v>
      </c>
      <c r="AS230" s="284">
        <f t="shared" si="1864"/>
        <v>0</v>
      </c>
      <c r="AT230" s="284">
        <f t="shared" si="1864"/>
        <v>0</v>
      </c>
      <c r="AU230" s="284">
        <f t="shared" ref="AU230:AV230" si="1865">AU229</f>
        <v>0</v>
      </c>
      <c r="AV230" s="284">
        <f t="shared" si="1865"/>
        <v>0</v>
      </c>
      <c r="AW230" s="284"/>
      <c r="AX230" s="284">
        <f>AX229</f>
        <v>0</v>
      </c>
      <c r="AY230" s="68"/>
      <c r="AZ230" s="68"/>
      <c r="BA230" s="289"/>
      <c r="BB230" s="68"/>
      <c r="BC230" s="179"/>
      <c r="BD230" s="68"/>
      <c r="BE230" s="68"/>
      <c r="BF230" s="67">
        <f t="shared" ref="BF230:BH230" si="1866" xml:space="preserve"> BF229</f>
        <v>0</v>
      </c>
      <c r="BG230" s="295">
        <f t="shared" si="1866"/>
        <v>0</v>
      </c>
      <c r="BH230" s="295">
        <f t="shared" si="1866"/>
        <v>0</v>
      </c>
      <c r="BI230" s="47">
        <f>IF((BF230="Fast"),(1.006248-(0.06415*((BH230/100*SQRT(BG230))/POWER(AP230,(1/3))))),1)</f>
        <v>1</v>
      </c>
      <c r="BJ230" s="61"/>
      <c r="BK230" s="61"/>
      <c r="BM230" s="51">
        <f t="shared" si="1860"/>
        <v>0</v>
      </c>
      <c r="BN230" s="51">
        <f t="shared" si="1860"/>
        <v>0</v>
      </c>
      <c r="BO230" s="51">
        <f t="shared" si="1860"/>
        <v>0</v>
      </c>
      <c r="BP230" s="51">
        <f t="shared" si="1860"/>
        <v>0</v>
      </c>
      <c r="BQ230" s="51">
        <f t="shared" si="1860"/>
        <v>0</v>
      </c>
      <c r="BR230" s="51">
        <f t="shared" si="1860"/>
        <v>0</v>
      </c>
      <c r="BS230" s="52">
        <f>IF(COUNT(P230:T230)&gt;1,MINA(P230:T230)*BS$9,0)</f>
        <v>0</v>
      </c>
      <c r="BT230" s="88">
        <f t="shared" si="1861"/>
        <v>0</v>
      </c>
      <c r="BU230" s="88">
        <f t="shared" si="1861"/>
        <v>0</v>
      </c>
      <c r="BV230" s="88">
        <f t="shared" si="1861"/>
        <v>0</v>
      </c>
      <c r="BW230" s="88">
        <f t="shared" si="1861"/>
        <v>0</v>
      </c>
      <c r="BX230" s="88">
        <f t="shared" si="1861"/>
        <v>0</v>
      </c>
      <c r="BY230" s="88">
        <f t="shared" si="1861"/>
        <v>0</v>
      </c>
      <c r="BZ230" s="88">
        <f t="shared" si="1861"/>
        <v>0</v>
      </c>
      <c r="CA230" s="88">
        <f t="shared" si="1861"/>
        <v>0</v>
      </c>
      <c r="CB230" s="88">
        <f t="shared" si="1861"/>
        <v>0</v>
      </c>
      <c r="CC230" s="88">
        <f t="shared" si="1861"/>
        <v>0</v>
      </c>
      <c r="CD230" s="103">
        <f>SUM(BM230:CC230)</f>
        <v>0</v>
      </c>
      <c r="CE230" s="52"/>
      <c r="CF230" s="107">
        <f>J230</f>
        <v>0</v>
      </c>
      <c r="CG230" s="104" t="e">
        <f>CD230/CF230</f>
        <v>#DIV/0!</v>
      </c>
      <c r="CH230" s="53" t="e">
        <f>Seilareal/Lwl/Lwl</f>
        <v>#DIV/0!</v>
      </c>
      <c r="CI230" s="119" t="e">
        <f>Seilareal/Depl^0.667/K$7</f>
        <v>#DIV/0!</v>
      </c>
      <c r="CJ230" s="53" t="e">
        <f>Seilareal/Lwl/Lwl/SApRS1</f>
        <v>#DIV/0!</v>
      </c>
      <c r="CK230" s="209"/>
      <c r="CL230" s="209" t="e">
        <f>(ROUND(TBF/CL$6,3)*CL$6)*CL$4</f>
        <v>#VALUE!</v>
      </c>
      <c r="CM230" s="110" t="str">
        <f t="shared" si="690"/>
        <v>-</v>
      </c>
      <c r="CN230" s="64" t="str">
        <f>IF(SeilBeregnet=0,"-",(SeilBeregnet)^(1/2)*StHfaktor/(Depl+DeplTillegg/1000+Vann/1000+Diesel/1000*0.84)^(1/3))</f>
        <v>-</v>
      </c>
      <c r="CO230" s="64" t="str">
        <f t="shared" si="659"/>
        <v>-</v>
      </c>
      <c r="CP230" s="64" t="str">
        <f t="shared" si="660"/>
        <v>-</v>
      </c>
      <c r="CQ230" s="110" t="str">
        <f t="shared" si="661"/>
        <v>-</v>
      </c>
      <c r="CR230" s="172" t="str">
        <f>IF(CS230=0,"-",IF(CH230="TBF","-",CR$7*CS230))</f>
        <v>-</v>
      </c>
      <c r="CS230" s="162"/>
      <c r="CT230" s="172" t="str">
        <f>IF(CU230=0,"-",IF(CL230="TBF","-",CT$7*CU230))</f>
        <v>-</v>
      </c>
      <c r="CU230" s="164"/>
      <c r="CV230" s="195" t="s">
        <v>145</v>
      </c>
      <c r="CW230" s="64" t="s">
        <v>111</v>
      </c>
      <c r="CX230" s="64" t="s">
        <v>111</v>
      </c>
      <c r="CY230" s="64" t="s">
        <v>111</v>
      </c>
      <c r="CZ230" s="154" t="s">
        <v>111</v>
      </c>
      <c r="DA230" s="64" t="str">
        <f t="shared" si="664"/>
        <v>-</v>
      </c>
      <c r="DB230" s="49">
        <f t="shared" si="665"/>
        <v>0</v>
      </c>
      <c r="DC230" s="50">
        <f>DB$7*IF(DB230&lt;DB$5,-0.04,IF(DB230&lt;DB$5*1.1,-0.03,IF(DB230&lt;DB$5*1.2,-0.02,IF(DB230&lt;DB$5*1.3,-0.01,0))))</f>
        <v>0</v>
      </c>
      <c r="DE230" s="110" t="str">
        <f>IF(SeilBeregnet=0,"-",DE$7*(DG:DG+DE$6)*DL:DL*PropF+ErfaringsF+Dyp_F)</f>
        <v>-</v>
      </c>
      <c r="DF230" s="144" t="str">
        <f>IF($DQ230=0,"-",(DE230-$DO230)*100)</f>
        <v>-</v>
      </c>
      <c r="DG230" s="110">
        <f>SUM(DH230:DK230)^DG$3+DG$7</f>
        <v>5.3832942165864397</v>
      </c>
      <c r="DH230" s="136">
        <f>IF(SeilBeregnet=0,DH229,(SeilBeregnet^0.5/(Depl^0.3333))^DH$3*DH$7)</f>
        <v>3.5186912599100024</v>
      </c>
      <c r="DI230" s="136">
        <f>IF(SeilBeregnet=0,DI229,(SeilBeregnet^0.5/Lwl)^DI$3*DI$7)</f>
        <v>0</v>
      </c>
      <c r="DJ230" s="136">
        <f>IF(SeilBeregnet=0,DJ229,(0.1*Loa/Depl^0.3333)^DJ$3*DJ$7)</f>
        <v>0</v>
      </c>
      <c r="DK230" s="136">
        <f>IF(SeilBeregnet=0,DK229,((Loa)/Bredde)^DK$3*DK$7)</f>
        <v>1.8646029566764373</v>
      </c>
      <c r="DL230" s="110">
        <f>IF(SeilBeregnet=0,DL229,(Lwl)^DL$3)</f>
        <v>1.8859172433475835</v>
      </c>
      <c r="DM230" s="136">
        <f>IF(SeilBeregnet=0,DM229,(Dypg/Loa)^DM$3*5*DM$7)</f>
        <v>2.0446520502738266</v>
      </c>
      <c r="DO230" s="110" t="str">
        <f t="shared" si="669"/>
        <v>-</v>
      </c>
      <c r="DP230" s="110" t="str">
        <f t="shared" si="670"/>
        <v>-</v>
      </c>
      <c r="DR230" s="110" t="str">
        <f t="shared" si="671"/>
        <v>-</v>
      </c>
      <c r="DS230" s="125" t="str">
        <f>IF($DQ230=0,"-",DR230-$DO230)</f>
        <v>-</v>
      </c>
      <c r="DT230" s="110" t="str">
        <f>IF(SeilBeregnet=0,"-",DT$7*(DT$4*DV230*DW230*DX230*PropF+DT$6)+ErfaringsF+Dyp_F)</f>
        <v>-</v>
      </c>
      <c r="DU230" s="125" t="str">
        <f>IF($DQ230=0,"-",DT230-$DO230)</f>
        <v>-</v>
      </c>
      <c r="DV230" s="110">
        <f>IF(SeilBeregnet=0,DV229,SeilBeregnet^0.5/Depl^0.33333)</f>
        <v>3.5183395275243732</v>
      </c>
      <c r="DW230" s="110">
        <f>IF(SeilBeregnet=0,DW229,Lwl^0.3333)</f>
        <v>2.3298436208665341</v>
      </c>
      <c r="DX230" s="110">
        <f>IF(SeilBeregnet=0,DX229,((Loa+Lwl)/Bredde)^DX$3)</f>
        <v>1.5916961163398649</v>
      </c>
      <c r="DZ230" s="110" t="str">
        <f>IF(SeilBeregnet=0,"-",DZ$7*(DZ$4*EB230*EC230*ED230*PropF+DZ$6)+ErfaringsF+Dyp_F)</f>
        <v>-</v>
      </c>
      <c r="EB230" s="110">
        <f>IF(SeilBeregnet=0,EB229,SeilBeregnet^0.5/Depl^0.33333)</f>
        <v>3.5183395275243732</v>
      </c>
      <c r="EC230" s="110">
        <f>IF(SeilBeregnet=0,EC229,Lwl^EC$3)</f>
        <v>2.3300209979525235</v>
      </c>
      <c r="ED230" s="110">
        <f>IF(SeilBeregnet=0,ED229,((Loa+Lwl)/Bredde)^ED$3)</f>
        <v>1.8583176886572534</v>
      </c>
      <c r="EE230" s="110" t="str">
        <f>IF(SeilBeregnet=0,"-",EE$7*(EE$4*EG230+EE$6)*EJ230*PropF+ErfaringsF+Dyp_F)</f>
        <v>-</v>
      </c>
      <c r="EG230" s="110">
        <f>IF(SeilBeregnet=0,EG229,(EH230*EI230)^EG$3)</f>
        <v>5.6001273619255798</v>
      </c>
      <c r="EH230" s="110">
        <f>IF(SeilBeregnet=0,EH229,SeilBeregnet^0.5/Depl^0.33333)</f>
        <v>3.5183395275243732</v>
      </c>
      <c r="EI230" s="110">
        <f>IF(SeilBeregnet=0,EI229,((Loa+Lwl)/Bredde)^EI$3)</f>
        <v>1.5916961163398649</v>
      </c>
      <c r="EJ230" s="110">
        <f>IF(SeilBeregnet=0,EJ229,Lwl^EJ$3)</f>
        <v>1.8859172433475835</v>
      </c>
      <c r="EK230" s="110" t="str">
        <f>IF(SeilBeregnet=0,"-",EK$7*(EK$4*EM:EM+EK$6)*EP:EP*PropF+ErfaringsF+Dyp_F)</f>
        <v>-</v>
      </c>
      <c r="EM230" s="110">
        <f>IF(SeilBeregnet=0,EM229,(EN:EN*EO:EO)^EM$3)</f>
        <v>1.8916032249928152</v>
      </c>
      <c r="EN230" s="110">
        <f>IF(SeilBeregnet=0,EN229,SeilBeregnet^0.5/Depl^0.33333)</f>
        <v>3.5183395275243732</v>
      </c>
      <c r="EO230" s="110">
        <f>IF(SeilBeregnet=0,EO229,((Loa+Lwl)/Bredde/6)^EO$3)</f>
        <v>1.0170032575909294</v>
      </c>
      <c r="EP230" s="110">
        <f>IF(SeilBeregnet=0,EP229,(Lwl*0.7+Loa*0.3)^EP$3)</f>
        <v>1.9111244003334622</v>
      </c>
      <c r="EQ230" s="110" t="str">
        <f>IF(SeilBeregnet=0,"-",EQ$7*(ES:ES+EQ$6)*EV:EV*PropF+ErfaringsF+Dyp_F)</f>
        <v>-</v>
      </c>
      <c r="ES230" s="110">
        <f>(ET:ET*EU:EU)^ES$3</f>
        <v>1.8916977754877242</v>
      </c>
      <c r="ET230" s="110">
        <f>IF(SeilBeregnet=0,ET229,SeilBeregnet^0.5/Depl^0.3333)</f>
        <v>3.5186912599100024</v>
      </c>
      <c r="EU230" s="110">
        <f>IF(SeilBeregnet=0,EU229,((Loa+Lwl)/Bredde/6)^EU$3)</f>
        <v>1.0170032575909294</v>
      </c>
      <c r="EV230" s="110">
        <f>IF(SeilBeregnet=0,EV229,(Lwl*0.7+Loa*0.3)^EV$3)</f>
        <v>1.9111244003334622</v>
      </c>
      <c r="EW230" s="110" t="str">
        <f>IF(SeilBeregnet=0,"-",EW$7*(EY:EY+EW$6)*FB:FB*PropF+ErfaringsF+Dyp_F)</f>
        <v>-</v>
      </c>
      <c r="EX230" s="144" t="str">
        <f>IF($DQ230=0,"-",(EW230-$DO230)*100)</f>
        <v>-</v>
      </c>
      <c r="EY230" s="110">
        <f>(EZ:EZ*FA:FA)^EY$3</f>
        <v>3.6393669791953887</v>
      </c>
      <c r="EZ230" s="136">
        <f>IF(SeilBeregnet=0,EZ229,(SeilBeregnet^0.5/(Depl^0.3333))^EZ$3)</f>
        <v>3.5186912599100024</v>
      </c>
      <c r="FA230" s="136">
        <f>IF(SeilBeregnet=0,FA229,((Loa+Lwl)/Bredde/6)^FA$3)</f>
        <v>1.0342956259505622</v>
      </c>
      <c r="FB230" s="110">
        <f>IF(SeilBeregnet=0,FB229,(Lwl*0.07+Loa*0.03)^FB$3)</f>
        <v>1.0747042278871302</v>
      </c>
      <c r="FC230" s="110" t="str">
        <f>IF(SeilBeregnet=0,"-",FC$7*(FE:FE+FC$6)*FI:FI*PropF+ErfaringsF+Dyp_F)</f>
        <v>-</v>
      </c>
      <c r="FD230" s="144" t="str">
        <f>IF($DQ230=0,"-",(FC230-$DO230)*100)</f>
        <v>-</v>
      </c>
      <c r="FE230" s="110">
        <f>(FF:FF+FG:FG+FH:FH)^FE$3+FE$7</f>
        <v>5.7278501328796771</v>
      </c>
      <c r="FF230" s="136">
        <f>IF(SeilBeregnet=0,FF229,(SeilBeregnet^0.5/(Depl^0.3333))^FF$3)</f>
        <v>3.5186912599100024</v>
      </c>
      <c r="FG230" s="136">
        <f>IF(SeilBeregnet=0,FG229,(SeilBeregnet^0.5/Lwl*FG$7)^FG$3)</f>
        <v>0.8445559162932379</v>
      </c>
      <c r="FH230" s="136">
        <f>IF(SeilBeregnet=0,FH229,((Loa)/Bredde)^FH$3*FH$7)</f>
        <v>1.8646029566764373</v>
      </c>
      <c r="FI230" s="110">
        <f>IF(SeilBeregnet=0,FI229,(Lwl)^FI$3)</f>
        <v>1.8859172433475835</v>
      </c>
      <c r="FJ230" s="110" t="str">
        <f>IF(SeilBeregnet=0,"-",FJ$7*(FL:FL+FJ$6)*FO:FO*PropF+ErfaringsF+Dyp_F)</f>
        <v>-</v>
      </c>
      <c r="FK230" s="144" t="str">
        <f>IF($DQ230=0,"-",(FJ230-$DO230)*100)</f>
        <v>-</v>
      </c>
      <c r="FL230" s="110">
        <f>(FM:FM*FN:FN)^FL$3</f>
        <v>6.5609621268597289</v>
      </c>
      <c r="FM230" s="136">
        <f>IF(SeilBeregnet=0,FM229,(SeilBeregnet^0.5/(Depl^0.3333))^FM$3)</f>
        <v>3.5186912599100024</v>
      </c>
      <c r="FN230" s="136">
        <f>IF(SeilBeregnet=0,FN229,(Loa/Bredde)^FN$3)</f>
        <v>1.8646029566764373</v>
      </c>
      <c r="FO230" s="110">
        <f>IF(SeilBeregnet=0,FO229,Lwl^FO$3)</f>
        <v>1.8859172433475835</v>
      </c>
      <c r="FQ230" s="374">
        <v>1</v>
      </c>
      <c r="FR230" s="64" t="str">
        <f t="shared" si="1853"/>
        <v>-</v>
      </c>
      <c r="FS230" s="479"/>
      <c r="FT230" s="18"/>
      <c r="FU230" s="481"/>
      <c r="FV230" s="504"/>
      <c r="FW230" s="18"/>
      <c r="FX230" s="18"/>
      <c r="FY230" s="18"/>
      <c r="FZ230" s="18"/>
      <c r="GB230" s="18"/>
      <c r="GC230" s="481"/>
      <c r="GD230" s="8"/>
      <c r="GE230" s="8"/>
      <c r="GF230" s="8"/>
      <c r="GG230" s="8"/>
      <c r="GI230" s="18"/>
      <c r="GJ230" s="18"/>
      <c r="GK230" s="18"/>
      <c r="GL230" s="18"/>
      <c r="GM230" s="18"/>
      <c r="GN230" s="18"/>
      <c r="GO230" s="18"/>
      <c r="GP230" s="18"/>
    </row>
    <row r="231" spans="1:198" ht="15.6" x14ac:dyDescent="0.3">
      <c r="A231" s="54" t="s">
        <v>153</v>
      </c>
      <c r="B231" s="223">
        <f t="shared" si="199"/>
        <v>0</v>
      </c>
      <c r="C231" s="55" t="s">
        <v>41</v>
      </c>
      <c r="D231" s="55"/>
      <c r="E231" s="55"/>
      <c r="F231" s="55"/>
      <c r="G231" s="56"/>
      <c r="H231" s="209"/>
      <c r="I231" s="126" t="str">
        <f>A231</f>
        <v>Ny båt bermuda</v>
      </c>
      <c r="J231" s="229"/>
      <c r="K231" s="119"/>
      <c r="L231" s="119"/>
      <c r="M231" s="95"/>
      <c r="N231" s="265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270"/>
      <c r="AF231" s="296"/>
      <c r="AG231" s="377"/>
      <c r="AH231" s="296"/>
      <c r="AI231" s="377"/>
      <c r="AJ231" s="296" t="s">
        <v>240</v>
      </c>
      <c r="AK231" s="47">
        <f>VLOOKUP(AJ231,Skrogform!$1:$1048576,3,FALSE)</f>
        <v>1</v>
      </c>
      <c r="AL231" s="57"/>
      <c r="AM231" s="57"/>
      <c r="AN231" s="57"/>
      <c r="AO231" s="57"/>
      <c r="AP231" s="57"/>
      <c r="AQ231" s="57"/>
      <c r="AR231" s="57"/>
      <c r="AS231" s="281"/>
      <c r="AT231" s="282">
        <f>AS231*7</f>
        <v>0</v>
      </c>
      <c r="AU231" s="281">
        <f>ROUND(Depl*10,-2)</f>
        <v>0</v>
      </c>
      <c r="AV231" s="281">
        <f>ROUND(Depl*10,-2)</f>
        <v>0</v>
      </c>
      <c r="AW231" s="270">
        <f>Depl+Diesel/1000+Vann/1000</f>
        <v>0</v>
      </c>
      <c r="AX231" s="281"/>
      <c r="AY231" s="98" t="e">
        <f>Bredde/(Loa+Lwl)*2</f>
        <v>#DIV/0!</v>
      </c>
      <c r="AZ231" s="98" t="e">
        <f>(Kjøl+Ballast)/Depl</f>
        <v>#DIV/0!</v>
      </c>
      <c r="BA231" s="288" t="e">
        <f>BA$7*((Depl-Kjøl-Ballast-VektMotor/1000-VektAnnet/1000)/Loa/Lwl/Bredde)</f>
        <v>#DIV/0!</v>
      </c>
      <c r="BB231" s="98" t="e">
        <f>BB$7*(Depl/Loa/Lwl/Lwl)</f>
        <v>#DIV/0!</v>
      </c>
      <c r="BC231" s="178" t="e">
        <f>BC$7*(Depl/Loa/Lwl/Bredde)</f>
        <v>#DIV/0!</v>
      </c>
      <c r="BD231" s="98" t="e">
        <f>BD$7*Bredde/(Loa+Lwl)*2</f>
        <v>#DIV/0!</v>
      </c>
      <c r="BE231" s="98" t="e">
        <f>BE$7*(Dypg/Lwl)</f>
        <v>#DIV/0!</v>
      </c>
      <c r="BF231" s="58"/>
      <c r="BG231" s="296"/>
      <c r="BH231" s="296"/>
      <c r="BI231" s="47">
        <f t="shared" si="1662"/>
        <v>1</v>
      </c>
      <c r="BJ231" s="61"/>
      <c r="BK231" s="61"/>
      <c r="BM231" s="214"/>
      <c r="BN231" s="214" t="str">
        <f>$A231</f>
        <v>Ny båt bermuda</v>
      </c>
      <c r="BO231" s="10"/>
      <c r="BP231" s="10"/>
      <c r="BQ231" s="10"/>
      <c r="BR231" s="10"/>
      <c r="BS231" s="52"/>
      <c r="BT231" s="214" t="str">
        <f>$A231</f>
        <v>Ny båt bermuda</v>
      </c>
      <c r="BU231" s="10"/>
      <c r="BV231" s="10"/>
      <c r="BW231" s="10"/>
      <c r="BX231" s="10"/>
      <c r="BY231" s="10"/>
      <c r="BZ231" s="10"/>
      <c r="CA231" s="10"/>
      <c r="CB231" s="10"/>
      <c r="CC231" s="10"/>
      <c r="CD231" s="214"/>
      <c r="CE231" s="10"/>
      <c r="CF231" s="214" t="str">
        <f>$A231</f>
        <v>Ny båt bermuda</v>
      </c>
      <c r="CG231" s="212"/>
      <c r="CH231" s="212"/>
      <c r="CI231" s="119"/>
      <c r="CJ231" s="212"/>
      <c r="CK231" s="208"/>
      <c r="CL231" s="208" t="s">
        <v>26</v>
      </c>
      <c r="CM231" s="110" t="str">
        <f t="shared" si="1772"/>
        <v>-</v>
      </c>
      <c r="CN231" s="64" t="str">
        <f>IF(SeilBeregnet=0,"-",(SeilBeregnet)^(1/2)*StHfaktor/(Depl+DeplTillegg/1000+Vann/1000+Diesel/1000*0.84)^(1/3))</f>
        <v>-</v>
      </c>
      <c r="CO231" s="64" t="str">
        <f t="shared" si="1759"/>
        <v>-</v>
      </c>
      <c r="CP231" s="64" t="str">
        <f t="shared" si="1760"/>
        <v>-</v>
      </c>
      <c r="CQ231" s="110" t="str">
        <f t="shared" si="1761"/>
        <v>-</v>
      </c>
      <c r="CR231" s="172" t="str">
        <f t="shared" si="1840"/>
        <v>-</v>
      </c>
      <c r="CS231" s="162"/>
      <c r="CT231" s="172" t="str">
        <f t="shared" si="1660"/>
        <v>-</v>
      </c>
      <c r="CU231" s="164"/>
      <c r="CV231" s="195" t="s">
        <v>145</v>
      </c>
      <c r="CW231" s="30" t="s">
        <v>26</v>
      </c>
      <c r="CX231" s="30" t="s">
        <v>26</v>
      </c>
      <c r="CY231" s="30" t="s">
        <v>26</v>
      </c>
      <c r="CZ231" s="153">
        <v>2022</v>
      </c>
      <c r="DA231" s="64" t="str">
        <f t="shared" si="1663"/>
        <v>-</v>
      </c>
      <c r="DB231" s="49">
        <f t="shared" si="1664"/>
        <v>0</v>
      </c>
      <c r="DC231" s="50">
        <f t="shared" si="1665"/>
        <v>0</v>
      </c>
      <c r="DE231" s="110" t="str">
        <f>IF(SeilBeregnet=0,"-",DE$7*(DG:DG+DE$6)*DL:DL*PropF+ErfaringsF+Dyp_F)</f>
        <v>-</v>
      </c>
      <c r="DF231" s="144" t="str">
        <f t="shared" ref="DF231:DF236" si="1867">IF($DQ231=0,"-",(DE231-$DO231)*100)</f>
        <v>-</v>
      </c>
      <c r="DG231" s="110">
        <f t="shared" si="1667"/>
        <v>0</v>
      </c>
      <c r="DH231" s="136">
        <f>IF(SeilBeregnet=0,DH204,(SeilBeregnet^0.5/(Depl^0.3333))^DH$3*DH$7)</f>
        <v>0</v>
      </c>
      <c r="DI231" s="136">
        <f>IF(SeilBeregnet=0,DI204,(SeilBeregnet^0.5/Lwl)^DI$3*DI$7)</f>
        <v>0</v>
      </c>
      <c r="DJ231" s="136">
        <f>IF(SeilBeregnet=0,DJ204,(0.1*Loa/Depl^0.3333)^DJ$3*DJ$7)</f>
        <v>0</v>
      </c>
      <c r="DK231" s="136">
        <f>IF(SeilBeregnet=0,DK204,((Loa)/Bredde)^DK$3*DK$7)</f>
        <v>0</v>
      </c>
      <c r="DL231" s="110">
        <f>IF(SeilBeregnet=0,DL204,(Lwl)^DL$3)</f>
        <v>0</v>
      </c>
      <c r="DM231" s="136">
        <f>IF(SeilBeregnet=0,DM204,(Dypg/Loa)^DM$3*5*DM$7)</f>
        <v>0</v>
      </c>
      <c r="DO231" s="110" t="str">
        <f t="shared" si="669"/>
        <v>-</v>
      </c>
      <c r="DP231" s="110" t="str">
        <f t="shared" si="1668"/>
        <v>-</v>
      </c>
      <c r="DR231" s="110" t="str">
        <f t="shared" si="1669"/>
        <v>-</v>
      </c>
      <c r="DS231" s="125" t="str">
        <f t="shared" ref="DS231:DS236" si="1868">IF($DQ231=0,"-",DR231-$DO231)</f>
        <v>-</v>
      </c>
      <c r="DT231" s="110" t="str">
        <f t="shared" si="1671"/>
        <v>-</v>
      </c>
      <c r="DU231" s="125" t="str">
        <f t="shared" ref="DU231:DU236" si="1869">IF($DQ231=0,"-",DT231-$DO231)</f>
        <v>-</v>
      </c>
      <c r="DV231" s="110">
        <f>IF(SeilBeregnet=0,DV204,SeilBeregnet^0.5/Depl^0.33333)</f>
        <v>0</v>
      </c>
      <c r="DW231" s="110">
        <f>IF(SeilBeregnet=0,DW204,Lwl^0.3333)</f>
        <v>0</v>
      </c>
      <c r="DX231" s="110">
        <f>IF(SeilBeregnet=0,DX204,((Loa+Lwl)/Bredde)^DX$3)</f>
        <v>0</v>
      </c>
      <c r="DZ231" s="110" t="str">
        <f t="shared" si="1673"/>
        <v>-</v>
      </c>
      <c r="EB231" s="110">
        <f>IF(SeilBeregnet=0,EB204,SeilBeregnet^0.5/Depl^0.33333)</f>
        <v>0</v>
      </c>
      <c r="EC231" s="110">
        <f>IF(SeilBeregnet=0,EC204,Lwl^EC$3)</f>
        <v>0</v>
      </c>
      <c r="ED231" s="110">
        <f>IF(SeilBeregnet=0,ED204,((Loa+Lwl)/Bredde)^ED$3)</f>
        <v>0</v>
      </c>
      <c r="EE231" s="110" t="str">
        <f t="shared" si="1674"/>
        <v>-</v>
      </c>
      <c r="EG231" s="110">
        <f>IF(SeilBeregnet=0,EG204,(EH231*EI231)^EG$3)</f>
        <v>0</v>
      </c>
      <c r="EH231" s="110">
        <f>IF(SeilBeregnet=0,EH204,SeilBeregnet^0.5/Depl^0.33333)</f>
        <v>0</v>
      </c>
      <c r="EI231" s="110">
        <f>IF(SeilBeregnet=0,EI204,((Loa+Lwl)/Bredde)^EI$3)</f>
        <v>0</v>
      </c>
      <c r="EJ231" s="110">
        <f>IF(SeilBeregnet=0,EJ204,Lwl^EJ$3)</f>
        <v>0</v>
      </c>
      <c r="EK231" s="110" t="str">
        <f>IF(SeilBeregnet=0,"-",EK$7*(EK$4*EM:EM+EK$6)*EP:EP*PropF+ErfaringsF+Dyp_F)</f>
        <v>-</v>
      </c>
      <c r="EM231" s="110">
        <f>IF(SeilBeregnet=0,EM204,(EN:EN*EO:EO)^EM$3)</f>
        <v>0</v>
      </c>
      <c r="EN231" s="110">
        <f>IF(SeilBeregnet=0,EN204,SeilBeregnet^0.5/Depl^0.33333)</f>
        <v>0</v>
      </c>
      <c r="EO231" s="110">
        <f>IF(SeilBeregnet=0,EO204,((Loa+Lwl)/Bredde/6)^EO$3)</f>
        <v>0</v>
      </c>
      <c r="EP231" s="110">
        <f>IF(SeilBeregnet=0,EP204,(Lwl*0.7+Loa*0.3)^EP$3)</f>
        <v>0</v>
      </c>
      <c r="EQ231" s="110" t="str">
        <f>IF(SeilBeregnet=0,"-",EQ$7*(ES:ES+EQ$6)*EV:EV*PropF+ErfaringsF+Dyp_F)</f>
        <v>-</v>
      </c>
      <c r="ES231" s="110">
        <f>(ET:ET*EU:EU)^ES$3</f>
        <v>0</v>
      </c>
      <c r="ET231" s="110">
        <f>IF(SeilBeregnet=0,ET204,SeilBeregnet^0.5/Depl^0.3333)</f>
        <v>0</v>
      </c>
      <c r="EU231" s="110">
        <f>IF(SeilBeregnet=0,EU204,((Loa+Lwl)/Bredde/6)^EU$3)</f>
        <v>0</v>
      </c>
      <c r="EV231" s="110">
        <f>IF(SeilBeregnet=0,EV204,(Lwl*0.7+Loa*0.3)^EV$3)</f>
        <v>0</v>
      </c>
      <c r="EW231" s="110" t="str">
        <f>IF(SeilBeregnet=0,"-",EW$7*(EY:EY+EW$6)*FB:FB*PropF+ErfaringsF+Dyp_F)</f>
        <v>-</v>
      </c>
      <c r="EX231" s="144" t="str">
        <f t="shared" ref="EX231:EX236" si="1870">IF($DQ231=0,"-",(EW231-$DO231)*100)</f>
        <v>-</v>
      </c>
      <c r="EY231" s="110">
        <f>(EZ:EZ*FA:FA)^EY$3</f>
        <v>0</v>
      </c>
      <c r="EZ231" s="136">
        <f>IF(SeilBeregnet=0,EZ204,(SeilBeregnet^0.5/(Depl^0.3333))^EZ$3)</f>
        <v>0</v>
      </c>
      <c r="FA231" s="136">
        <f>IF(SeilBeregnet=0,FA204,((Loa+Lwl)/Bredde/6)^FA$3)</f>
        <v>0</v>
      </c>
      <c r="FB231" s="110">
        <f>IF(SeilBeregnet=0,FB204,(Lwl*0.07+Loa*0.03)^FB$3)</f>
        <v>0</v>
      </c>
      <c r="FC231" s="110" t="str">
        <f>IF(SeilBeregnet=0,"-",FC$7*(FE:FE+FC$6)*FI:FI*PropF+ErfaringsF+Dyp_F)</f>
        <v>-</v>
      </c>
      <c r="FD231" s="144" t="str">
        <f t="shared" ref="FD231:FD236" si="1871">IF($DQ231=0,"-",(FC231-$DO231)*100)</f>
        <v>-</v>
      </c>
      <c r="FE231" s="110">
        <f>(FF:FF+FG:FG+FH:FH)^FE$3+FE$7</f>
        <v>-0.5</v>
      </c>
      <c r="FF231" s="136">
        <f>IF(SeilBeregnet=0,FF204,(SeilBeregnet^0.5/(Depl^0.3333))^FF$3)</f>
        <v>0</v>
      </c>
      <c r="FG231" s="136">
        <f>IF(SeilBeregnet=0,FG204,(SeilBeregnet^0.5/Lwl*FG$7)^FG$3)</f>
        <v>0</v>
      </c>
      <c r="FH231" s="136">
        <f>IF(SeilBeregnet=0,FH204,((Loa)/Bredde)^FH$3*FH$7)</f>
        <v>0</v>
      </c>
      <c r="FI231" s="110">
        <f>IF(SeilBeregnet=0,FI204,(Lwl)^FI$3)</f>
        <v>0</v>
      </c>
      <c r="FJ231" s="110" t="str">
        <f>IF(SeilBeregnet=0,"-",FJ$7*(FL:FL+FJ$6)*FO:FO*PropF+ErfaringsF+Dyp_F)</f>
        <v>-</v>
      </c>
      <c r="FK231" s="144" t="str">
        <f t="shared" ref="FK231:FK236" si="1872">IF($DQ231=0,"-",(FJ231-$DO231)*100)</f>
        <v>-</v>
      </c>
      <c r="FL231" s="110">
        <f>(FM:FM*FN:FN)^FL$3</f>
        <v>0</v>
      </c>
      <c r="FM231" s="136">
        <f>IF(SeilBeregnet=0,FM204,(SeilBeregnet^0.5/(Depl^0.3333))^FM$3)</f>
        <v>0</v>
      </c>
      <c r="FN231" s="136">
        <f>IF(SeilBeregnet=0,FN204,(Loa/Bredde)^FN$3)</f>
        <v>0</v>
      </c>
      <c r="FO231" s="110">
        <f>IF(SeilBeregnet=0,FO204,Lwl^FO$3)</f>
        <v>0</v>
      </c>
      <c r="FQ231" s="374">
        <v>1</v>
      </c>
      <c r="FR231" s="64" t="str">
        <f t="shared" si="1853"/>
        <v>-</v>
      </c>
      <c r="FS231" s="480"/>
      <c r="FT231" s="59"/>
      <c r="FU231" s="475"/>
      <c r="FV231" s="77"/>
      <c r="FW231" s="59"/>
      <c r="FX231" s="59"/>
      <c r="FY231" s="59"/>
      <c r="FZ231" s="59"/>
      <c r="GB231" s="59" t="s">
        <v>522</v>
      </c>
      <c r="GC231" s="475" t="s">
        <v>522</v>
      </c>
      <c r="GD231" s="60" t="s">
        <v>522</v>
      </c>
      <c r="GE231" s="60" t="s">
        <v>522</v>
      </c>
      <c r="GF231" s="60" t="s">
        <v>522</v>
      </c>
      <c r="GG231" s="60" t="s">
        <v>522</v>
      </c>
      <c r="GI231" s="59"/>
      <c r="GJ231" s="59"/>
      <c r="GK231" s="59"/>
      <c r="GL231" s="59"/>
      <c r="GM231" s="59"/>
      <c r="GN231" s="59"/>
      <c r="GO231" s="59"/>
      <c r="GP231" s="59"/>
    </row>
    <row r="232" spans="1:198" ht="15.6" x14ac:dyDescent="0.3">
      <c r="A232" s="62" t="s">
        <v>36</v>
      </c>
      <c r="B232" s="223"/>
      <c r="C232" s="63" t="str">
        <f>C231</f>
        <v>Bermuda</v>
      </c>
      <c r="D232" s="63"/>
      <c r="E232" s="63"/>
      <c r="F232" s="63"/>
      <c r="G232" s="56"/>
      <c r="H232" s="209" t="e">
        <f>TBFavrundet</f>
        <v>#VALUE!</v>
      </c>
      <c r="I232" s="65">
        <f>COUNTA(O232:AD232)</f>
        <v>0</v>
      </c>
      <c r="J232" s="228">
        <f>SUM(O232:AD232)</f>
        <v>0</v>
      </c>
      <c r="K232" s="119" t="e">
        <f>Seilareal/Depl^0.667/K$7</f>
        <v>#DIV/0!</v>
      </c>
      <c r="L232" s="119" t="e">
        <f>Seilareal/Lwl/Lwl/L$7</f>
        <v>#DIV/0!</v>
      </c>
      <c r="M232" s="95" t="e">
        <f>RiggF</f>
        <v>#DIV/0!</v>
      </c>
      <c r="N232" s="265" t="str">
        <f>StHfaktor</f>
        <v>-</v>
      </c>
      <c r="O232" s="147"/>
      <c r="P232" s="147"/>
      <c r="Q232" s="147"/>
      <c r="R232" s="147"/>
      <c r="S232" s="147"/>
      <c r="T232" s="147"/>
      <c r="U232" s="148"/>
      <c r="V232" s="148"/>
      <c r="W232" s="148"/>
      <c r="X232" s="148"/>
      <c r="Y232" s="147"/>
      <c r="Z232" s="147"/>
      <c r="AA232" s="147"/>
      <c r="AB232" s="147"/>
      <c r="AC232" s="147"/>
      <c r="AD232" s="148"/>
      <c r="AE232" s="260">
        <f t="shared" ref="AE232:AL235" si="1873">AE231</f>
        <v>0</v>
      </c>
      <c r="AF232" s="375">
        <f t="shared" ref="AF232:AH234" si="1874" xml:space="preserve"> AF231</f>
        <v>0</v>
      </c>
      <c r="AG232" s="377"/>
      <c r="AH232" s="375">
        <f t="shared" si="1874"/>
        <v>0</v>
      </c>
      <c r="AI232" s="377"/>
      <c r="AJ232" s="295" t="str">
        <f t="shared" ref="AJ232" si="1875" xml:space="preserve"> AJ231</f>
        <v>Meter</v>
      </c>
      <c r="AK232" s="47">
        <f>VLOOKUP(AJ232,Skrogform!$1:$1048576,3,FALSE)</f>
        <v>1</v>
      </c>
      <c r="AL232" s="66">
        <f t="shared" si="1873"/>
        <v>0</v>
      </c>
      <c r="AM232" s="66">
        <f t="shared" ref="AM232:AT232" si="1876">AM231</f>
        <v>0</v>
      </c>
      <c r="AN232" s="66">
        <f t="shared" si="1876"/>
        <v>0</v>
      </c>
      <c r="AO232" s="66">
        <f t="shared" si="1876"/>
        <v>0</v>
      </c>
      <c r="AP232" s="66">
        <f t="shared" si="1876"/>
        <v>0</v>
      </c>
      <c r="AQ232" s="66">
        <f t="shared" si="1876"/>
        <v>0</v>
      </c>
      <c r="AR232" s="66">
        <f t="shared" si="1876"/>
        <v>0</v>
      </c>
      <c r="AS232" s="284">
        <f t="shared" si="1876"/>
        <v>0</v>
      </c>
      <c r="AT232" s="284">
        <f t="shared" si="1876"/>
        <v>0</v>
      </c>
      <c r="AU232" s="284">
        <f t="shared" ref="AU232:AV232" si="1877">AU231</f>
        <v>0</v>
      </c>
      <c r="AV232" s="284">
        <f t="shared" si="1877"/>
        <v>0</v>
      </c>
      <c r="AW232" s="284"/>
      <c r="AX232" s="284">
        <f>AX231</f>
        <v>0</v>
      </c>
      <c r="AY232" s="68"/>
      <c r="AZ232" s="68"/>
      <c r="BA232" s="289"/>
      <c r="BB232" s="68"/>
      <c r="BC232" s="179"/>
      <c r="BD232" s="68"/>
      <c r="BE232" s="68"/>
      <c r="BF232" s="67">
        <f t="shared" ref="BF232:BH232" si="1878" xml:space="preserve"> BF231</f>
        <v>0</v>
      </c>
      <c r="BG232" s="295">
        <f t="shared" si="1878"/>
        <v>0</v>
      </c>
      <c r="BH232" s="295">
        <f t="shared" si="1878"/>
        <v>0</v>
      </c>
      <c r="BI232" s="47">
        <f t="shared" si="1662"/>
        <v>1</v>
      </c>
      <c r="BJ232" s="61"/>
      <c r="BK232" s="61"/>
      <c r="BM232" s="51">
        <f t="shared" ref="BM232:BR235" si="1879">IF(O232=0,0,O232*BM$9)</f>
        <v>0</v>
      </c>
      <c r="BN232" s="51">
        <f t="shared" si="1879"/>
        <v>0</v>
      </c>
      <c r="BO232" s="51">
        <f t="shared" si="1879"/>
        <v>0</v>
      </c>
      <c r="BP232" s="51">
        <f t="shared" si="1879"/>
        <v>0</v>
      </c>
      <c r="BQ232" s="51">
        <f t="shared" si="1879"/>
        <v>0</v>
      </c>
      <c r="BR232" s="51">
        <f t="shared" si="1879"/>
        <v>0</v>
      </c>
      <c r="BS232" s="52">
        <f>IF(COUNT(P232:T232)&gt;1,MINA(P232:T232)*BS$9,0)</f>
        <v>0</v>
      </c>
      <c r="BT232" s="88">
        <f t="shared" ref="BT232:CC235" si="1880">IF(U232=0,0,U232*BT$9)</f>
        <v>0</v>
      </c>
      <c r="BU232" s="88">
        <f t="shared" si="1880"/>
        <v>0</v>
      </c>
      <c r="BV232" s="88">
        <f t="shared" si="1880"/>
        <v>0</v>
      </c>
      <c r="BW232" s="88">
        <f t="shared" si="1880"/>
        <v>0</v>
      </c>
      <c r="BX232" s="88">
        <f t="shared" si="1880"/>
        <v>0</v>
      </c>
      <c r="BY232" s="88">
        <f t="shared" si="1880"/>
        <v>0</v>
      </c>
      <c r="BZ232" s="88">
        <f t="shared" si="1880"/>
        <v>0</v>
      </c>
      <c r="CA232" s="88">
        <f t="shared" si="1880"/>
        <v>0</v>
      </c>
      <c r="CB232" s="88">
        <f t="shared" si="1880"/>
        <v>0</v>
      </c>
      <c r="CC232" s="88">
        <f t="shared" si="1880"/>
        <v>0</v>
      </c>
      <c r="CD232" s="103">
        <f>SUM(BM232:CC232)</f>
        <v>0</v>
      </c>
      <c r="CE232" s="52"/>
      <c r="CF232" s="107">
        <f>J232</f>
        <v>0</v>
      </c>
      <c r="CG232" s="104" t="e">
        <f>CD232/CF232</f>
        <v>#DIV/0!</v>
      </c>
      <c r="CH232" s="53" t="e">
        <f>Seilareal/Lwl/Lwl</f>
        <v>#DIV/0!</v>
      </c>
      <c r="CI232" s="119" t="e">
        <f>Seilareal/Depl^0.667/K$7</f>
        <v>#DIV/0!</v>
      </c>
      <c r="CJ232" s="53" t="e">
        <f>Seilareal/Lwl/Lwl/SApRS1</f>
        <v>#DIV/0!</v>
      </c>
      <c r="CK232" s="209"/>
      <c r="CL232" s="209" t="e">
        <f>(ROUND(TBF/CL$6,3)*CL$6)*CL$4</f>
        <v>#VALUE!</v>
      </c>
      <c r="CM232" s="110" t="str">
        <f t="shared" si="1772"/>
        <v>-</v>
      </c>
      <c r="CN232" s="64" t="str">
        <f>IF(SeilBeregnet=0,"-",(SeilBeregnet)^(1/2)*StHfaktor/(Depl+DeplTillegg/1000+Vann/1000+Diesel/1000*0.84)^(1/3))</f>
        <v>-</v>
      </c>
      <c r="CO232" s="64" t="str">
        <f t="shared" si="1759"/>
        <v>-</v>
      </c>
      <c r="CP232" s="64" t="str">
        <f t="shared" si="1760"/>
        <v>-</v>
      </c>
      <c r="CQ232" s="110" t="str">
        <f t="shared" si="1761"/>
        <v>-</v>
      </c>
      <c r="CR232" s="172" t="str">
        <f t="shared" si="1840"/>
        <v>-</v>
      </c>
      <c r="CS232" s="163">
        <f>CS231</f>
        <v>0</v>
      </c>
      <c r="CT232" s="172" t="str">
        <f t="shared" si="1660"/>
        <v>-</v>
      </c>
      <c r="CU232" s="163">
        <f>CU231</f>
        <v>0</v>
      </c>
      <c r="CV232" s="195" t="s">
        <v>145</v>
      </c>
      <c r="CW232" s="64" t="s">
        <v>111</v>
      </c>
      <c r="CX232" s="64" t="s">
        <v>111</v>
      </c>
      <c r="CY232" s="64" t="s">
        <v>111</v>
      </c>
      <c r="CZ232" s="154" t="s">
        <v>111</v>
      </c>
      <c r="DA232" s="64" t="str">
        <f t="shared" si="1663"/>
        <v>-</v>
      </c>
      <c r="DB232" s="49">
        <f t="shared" si="1664"/>
        <v>0</v>
      </c>
      <c r="DC232" s="50">
        <f t="shared" si="1665"/>
        <v>0</v>
      </c>
      <c r="DE232" s="110" t="str">
        <f>IF(SeilBeregnet=0,"-",DE$7*(DG:DG+DE$6)*DL:DL*PropF+ErfaringsF+Dyp_F)</f>
        <v>-</v>
      </c>
      <c r="DF232" s="144" t="str">
        <f t="shared" si="1867"/>
        <v>-</v>
      </c>
      <c r="DG232" s="110">
        <f t="shared" si="1667"/>
        <v>0</v>
      </c>
      <c r="DH232" s="136">
        <f>IF(SeilBeregnet=0,DH231,(SeilBeregnet^0.5/(Depl^0.3333))^DH$3*DH$7)</f>
        <v>0</v>
      </c>
      <c r="DI232" s="136">
        <f>IF(SeilBeregnet=0,DI231,(SeilBeregnet^0.5/Lwl)^DI$3*DI$7)</f>
        <v>0</v>
      </c>
      <c r="DJ232" s="136">
        <f>IF(SeilBeregnet=0,DJ231,(0.1*Loa/Depl^0.3333)^DJ$3*DJ$7)</f>
        <v>0</v>
      </c>
      <c r="DK232" s="136">
        <f>IF(SeilBeregnet=0,DK231,((Loa)/Bredde)^DK$3*DK$7)</f>
        <v>0</v>
      </c>
      <c r="DL232" s="110">
        <f>IF(SeilBeregnet=0,DL231,(Lwl)^DL$3)</f>
        <v>0</v>
      </c>
      <c r="DM232" s="136">
        <f>IF(SeilBeregnet=0,DM231,(Dypg/Loa)^DM$3*5*DM$7)</f>
        <v>0</v>
      </c>
      <c r="DO232" s="110" t="str">
        <f t="shared" si="669"/>
        <v>-</v>
      </c>
      <c r="DP232" s="110" t="str">
        <f t="shared" si="1668"/>
        <v>-</v>
      </c>
      <c r="DR232" s="110" t="str">
        <f t="shared" si="1669"/>
        <v>-</v>
      </c>
      <c r="DS232" s="125" t="str">
        <f t="shared" si="1868"/>
        <v>-</v>
      </c>
      <c r="DT232" s="110" t="str">
        <f t="shared" si="1671"/>
        <v>-</v>
      </c>
      <c r="DU232" s="125" t="str">
        <f t="shared" si="1869"/>
        <v>-</v>
      </c>
      <c r="DV232" s="110">
        <f>IF(SeilBeregnet=0,DV231,SeilBeregnet^0.5/Depl^0.33333)</f>
        <v>0</v>
      </c>
      <c r="DW232" s="110">
        <f>IF(SeilBeregnet=0,DW231,Lwl^0.3333)</f>
        <v>0</v>
      </c>
      <c r="DX232" s="110">
        <f>IF(SeilBeregnet=0,DX231,((Loa+Lwl)/Bredde)^DX$3)</f>
        <v>0</v>
      </c>
      <c r="DZ232" s="110" t="str">
        <f t="shared" si="1673"/>
        <v>-</v>
      </c>
      <c r="EB232" s="110">
        <f>IF(SeilBeregnet=0,EB231,SeilBeregnet^0.5/Depl^0.33333)</f>
        <v>0</v>
      </c>
      <c r="EC232" s="110">
        <f>IF(SeilBeregnet=0,EC231,Lwl^EC$3)</f>
        <v>0</v>
      </c>
      <c r="ED232" s="110">
        <f>IF(SeilBeregnet=0,ED231,((Loa+Lwl)/Bredde)^ED$3)</f>
        <v>0</v>
      </c>
      <c r="EE232" s="110" t="str">
        <f t="shared" si="1674"/>
        <v>-</v>
      </c>
      <c r="EG232" s="110">
        <f>IF(SeilBeregnet=0,EG231,(EH232*EI232)^EG$3)</f>
        <v>0</v>
      </c>
      <c r="EH232" s="110">
        <f>IF(SeilBeregnet=0,EH231,SeilBeregnet^0.5/Depl^0.33333)</f>
        <v>0</v>
      </c>
      <c r="EI232" s="110">
        <f>IF(SeilBeregnet=0,EI231,((Loa+Lwl)/Bredde)^EI$3)</f>
        <v>0</v>
      </c>
      <c r="EJ232" s="110">
        <f>IF(SeilBeregnet=0,EJ231,Lwl^EJ$3)</f>
        <v>0</v>
      </c>
      <c r="EK232" s="110" t="str">
        <f>IF(SeilBeregnet=0,"-",EK$7*(EK$4*EM:EM+EK$6)*EP:EP*PropF+ErfaringsF+Dyp_F)</f>
        <v>-</v>
      </c>
      <c r="EM232" s="110">
        <f>IF(SeilBeregnet=0,EM231,(EN:EN*EO:EO)^EM$3)</f>
        <v>0</v>
      </c>
      <c r="EN232" s="110">
        <f>IF(SeilBeregnet=0,EN231,SeilBeregnet^0.5/Depl^0.33333)</f>
        <v>0</v>
      </c>
      <c r="EO232" s="110">
        <f>IF(SeilBeregnet=0,EO231,((Loa+Lwl)/Bredde/6)^EO$3)</f>
        <v>0</v>
      </c>
      <c r="EP232" s="110">
        <f>IF(SeilBeregnet=0,EP231,(Lwl*0.7+Loa*0.3)^EP$3)</f>
        <v>0</v>
      </c>
      <c r="EQ232" s="110" t="str">
        <f>IF(SeilBeregnet=0,"-",EQ$7*(ES:ES+EQ$6)*EV:EV*PropF+ErfaringsF+Dyp_F)</f>
        <v>-</v>
      </c>
      <c r="ES232" s="110">
        <f>(ET:ET*EU:EU)^ES$3</f>
        <v>0</v>
      </c>
      <c r="ET232" s="110">
        <f>IF(SeilBeregnet=0,ET231,SeilBeregnet^0.5/Depl^0.3333)</f>
        <v>0</v>
      </c>
      <c r="EU232" s="110">
        <f>IF(SeilBeregnet=0,EU231,((Loa+Lwl)/Bredde/6)^EU$3)</f>
        <v>0</v>
      </c>
      <c r="EV232" s="110">
        <f>IF(SeilBeregnet=0,EV231,(Lwl*0.7+Loa*0.3)^EV$3)</f>
        <v>0</v>
      </c>
      <c r="EW232" s="110" t="str">
        <f>IF(SeilBeregnet=0,"-",EW$7*(EY:EY+EW$6)*FB:FB*PropF+ErfaringsF+Dyp_F)</f>
        <v>-</v>
      </c>
      <c r="EX232" s="144" t="str">
        <f t="shared" si="1870"/>
        <v>-</v>
      </c>
      <c r="EY232" s="110">
        <f>(EZ:EZ*FA:FA)^EY$3</f>
        <v>0</v>
      </c>
      <c r="EZ232" s="136">
        <f>IF(SeilBeregnet=0,EZ231,(SeilBeregnet^0.5/(Depl^0.3333))^EZ$3)</f>
        <v>0</v>
      </c>
      <c r="FA232" s="136">
        <f>IF(SeilBeregnet=0,FA231,((Loa+Lwl)/Bredde/6)^FA$3)</f>
        <v>0</v>
      </c>
      <c r="FB232" s="110">
        <f>IF(SeilBeregnet=0,FB231,(Lwl*0.07+Loa*0.03)^FB$3)</f>
        <v>0</v>
      </c>
      <c r="FC232" s="110" t="str">
        <f>IF(SeilBeregnet=0,"-",FC$7*(FE:FE+FC$6)*FI:FI*PropF+ErfaringsF+Dyp_F)</f>
        <v>-</v>
      </c>
      <c r="FD232" s="144" t="str">
        <f t="shared" si="1871"/>
        <v>-</v>
      </c>
      <c r="FE232" s="110">
        <f>(FF:FF+FG:FG+FH:FH)^FE$3+FE$7</f>
        <v>-0.5</v>
      </c>
      <c r="FF232" s="136">
        <f>IF(SeilBeregnet=0,FF231,(SeilBeregnet^0.5/(Depl^0.3333))^FF$3)</f>
        <v>0</v>
      </c>
      <c r="FG232" s="136">
        <f>IF(SeilBeregnet=0,FG231,(SeilBeregnet^0.5/Lwl*FG$7)^FG$3)</f>
        <v>0</v>
      </c>
      <c r="FH232" s="136">
        <f>IF(SeilBeregnet=0,FH231,((Loa)/Bredde)^FH$3*FH$7)</f>
        <v>0</v>
      </c>
      <c r="FI232" s="110">
        <f>IF(SeilBeregnet=0,FI231,(Lwl)^FI$3)</f>
        <v>0</v>
      </c>
      <c r="FJ232" s="110" t="str">
        <f>IF(SeilBeregnet=0,"-",FJ$7*(FL:FL+FJ$6)*FO:FO*PropF+ErfaringsF+Dyp_F)</f>
        <v>-</v>
      </c>
      <c r="FK232" s="144" t="str">
        <f t="shared" si="1872"/>
        <v>-</v>
      </c>
      <c r="FL232" s="110">
        <f>(FM:FM*FN:FN)^FL$3</f>
        <v>0</v>
      </c>
      <c r="FM232" s="136">
        <f>IF(SeilBeregnet=0,FM231,(SeilBeregnet^0.5/(Depl^0.3333))^FM$3)</f>
        <v>0</v>
      </c>
      <c r="FN232" s="136">
        <f>IF(SeilBeregnet=0,FN231,(Loa/Bredde)^FN$3)</f>
        <v>0</v>
      </c>
      <c r="FO232" s="110">
        <f>IF(SeilBeregnet=0,FO231,Lwl^FO$3)</f>
        <v>0</v>
      </c>
      <c r="FQ232" s="374">
        <v>1</v>
      </c>
      <c r="FR232" s="64" t="str">
        <f t="shared" si="1853"/>
        <v>-</v>
      </c>
      <c r="FS232" s="479"/>
      <c r="FT232" s="18"/>
      <c r="FU232" s="481"/>
      <c r="FV232" s="504"/>
      <c r="FW232" s="18"/>
      <c r="FX232" s="18"/>
      <c r="FY232" s="18"/>
      <c r="FZ232" s="18"/>
      <c r="GB232" s="18"/>
      <c r="GC232" s="481"/>
      <c r="GD232" s="8"/>
      <c r="GE232" s="8"/>
      <c r="GF232" s="8"/>
      <c r="GG232" s="8"/>
      <c r="GI232" s="18"/>
      <c r="GJ232" s="18"/>
      <c r="GK232" s="18"/>
      <c r="GL232" s="18"/>
      <c r="GM232" s="18"/>
      <c r="GN232" s="18"/>
      <c r="GO232" s="18"/>
      <c r="GP232" s="18"/>
    </row>
    <row r="233" spans="1:198" ht="15.6" x14ac:dyDescent="0.3">
      <c r="A233" s="62"/>
      <c r="B233" s="223"/>
      <c r="C233" s="63" t="str">
        <f t="shared" ref="C233:C235" si="1881">C232</f>
        <v>Bermuda</v>
      </c>
      <c r="D233" s="63"/>
      <c r="E233" s="63"/>
      <c r="F233" s="63"/>
      <c r="G233" s="56"/>
      <c r="H233" s="209" t="e">
        <f>TBFavrundet</f>
        <v>#VALUE!</v>
      </c>
      <c r="I233" s="65">
        <f>COUNTA(O233:AD233)</f>
        <v>0</v>
      </c>
      <c r="J233" s="228">
        <f>SUM(O233:AD233)</f>
        <v>0</v>
      </c>
      <c r="K233" s="119" t="e">
        <f>Seilareal/Depl^0.667/K$7</f>
        <v>#DIV/0!</v>
      </c>
      <c r="L233" s="119" t="e">
        <f>Seilareal/Lwl/Lwl/L$7</f>
        <v>#DIV/0!</v>
      </c>
      <c r="M233" s="95" t="e">
        <f>RiggF</f>
        <v>#DIV/0!</v>
      </c>
      <c r="N233" s="265" t="str">
        <f>StHfaktor</f>
        <v>-</v>
      </c>
      <c r="O233" s="147"/>
      <c r="P233" s="147"/>
      <c r="Q233" s="147"/>
      <c r="R233" s="147"/>
      <c r="S233" s="147"/>
      <c r="T233" s="147"/>
      <c r="U233" s="148"/>
      <c r="V233" s="148"/>
      <c r="W233" s="148"/>
      <c r="X233" s="148"/>
      <c r="Y233" s="147"/>
      <c r="Z233" s="147"/>
      <c r="AA233" s="147"/>
      <c r="AB233" s="147"/>
      <c r="AC233" s="147"/>
      <c r="AD233" s="148"/>
      <c r="AE233" s="260">
        <f t="shared" si="1873"/>
        <v>0</v>
      </c>
      <c r="AF233" s="375">
        <f t="shared" si="1874"/>
        <v>0</v>
      </c>
      <c r="AG233" s="377"/>
      <c r="AH233" s="375">
        <f t="shared" si="1874"/>
        <v>0</v>
      </c>
      <c r="AI233" s="377"/>
      <c r="AJ233" s="295" t="str">
        <f t="shared" ref="AJ233" si="1882" xml:space="preserve"> AJ232</f>
        <v>Meter</v>
      </c>
      <c r="AK233" s="47">
        <f>VLOOKUP(AJ233,Skrogform!$1:$1048576,3,FALSE)</f>
        <v>1</v>
      </c>
      <c r="AL233" s="66">
        <f t="shared" si="1873"/>
        <v>0</v>
      </c>
      <c r="AM233" s="66">
        <f t="shared" ref="AM233:AT233" si="1883">AM232</f>
        <v>0</v>
      </c>
      <c r="AN233" s="66">
        <f t="shared" si="1883"/>
        <v>0</v>
      </c>
      <c r="AO233" s="66">
        <f t="shared" si="1883"/>
        <v>0</v>
      </c>
      <c r="AP233" s="66">
        <f t="shared" si="1883"/>
        <v>0</v>
      </c>
      <c r="AQ233" s="66">
        <f t="shared" si="1883"/>
        <v>0</v>
      </c>
      <c r="AR233" s="66">
        <f t="shared" si="1883"/>
        <v>0</v>
      </c>
      <c r="AS233" s="284">
        <f t="shared" si="1883"/>
        <v>0</v>
      </c>
      <c r="AT233" s="284">
        <f t="shared" si="1883"/>
        <v>0</v>
      </c>
      <c r="AU233" s="284">
        <f t="shared" ref="AU233:AV233" si="1884">AU232</f>
        <v>0</v>
      </c>
      <c r="AV233" s="284">
        <f t="shared" si="1884"/>
        <v>0</v>
      </c>
      <c r="AW233" s="284"/>
      <c r="AX233" s="284">
        <f>AX232</f>
        <v>0</v>
      </c>
      <c r="AY233" s="68"/>
      <c r="AZ233" s="68"/>
      <c r="BA233" s="289"/>
      <c r="BB233" s="68"/>
      <c r="BC233" s="179"/>
      <c r="BD233" s="68"/>
      <c r="BE233" s="68"/>
      <c r="BF233" s="67">
        <f t="shared" ref="BF233:BH233" si="1885" xml:space="preserve"> BF232</f>
        <v>0</v>
      </c>
      <c r="BG233" s="295">
        <f t="shared" si="1885"/>
        <v>0</v>
      </c>
      <c r="BH233" s="295">
        <f t="shared" si="1885"/>
        <v>0</v>
      </c>
      <c r="BI233" s="47">
        <f t="shared" si="1662"/>
        <v>1</v>
      </c>
      <c r="BJ233" s="61"/>
      <c r="BK233" s="61"/>
      <c r="BM233" s="51">
        <f t="shared" si="1879"/>
        <v>0</v>
      </c>
      <c r="BN233" s="51">
        <f t="shared" si="1879"/>
        <v>0</v>
      </c>
      <c r="BO233" s="51">
        <f t="shared" si="1879"/>
        <v>0</v>
      </c>
      <c r="BP233" s="51">
        <f t="shared" si="1879"/>
        <v>0</v>
      </c>
      <c r="BQ233" s="51">
        <f t="shared" si="1879"/>
        <v>0</v>
      </c>
      <c r="BR233" s="51">
        <f t="shared" si="1879"/>
        <v>0</v>
      </c>
      <c r="BS233" s="52">
        <f>IF(COUNT(P233:T233)&gt;1,MINA(P233:T233)*BS$9,0)</f>
        <v>0</v>
      </c>
      <c r="BT233" s="88">
        <f t="shared" si="1880"/>
        <v>0</v>
      </c>
      <c r="BU233" s="88">
        <f t="shared" si="1880"/>
        <v>0</v>
      </c>
      <c r="BV233" s="88">
        <f t="shared" si="1880"/>
        <v>0</v>
      </c>
      <c r="BW233" s="88">
        <f t="shared" si="1880"/>
        <v>0</v>
      </c>
      <c r="BX233" s="88">
        <f t="shared" si="1880"/>
        <v>0</v>
      </c>
      <c r="BY233" s="88">
        <f t="shared" si="1880"/>
        <v>0</v>
      </c>
      <c r="BZ233" s="88">
        <f t="shared" si="1880"/>
        <v>0</v>
      </c>
      <c r="CA233" s="88">
        <f t="shared" si="1880"/>
        <v>0</v>
      </c>
      <c r="CB233" s="88">
        <f t="shared" si="1880"/>
        <v>0</v>
      </c>
      <c r="CC233" s="88">
        <f t="shared" si="1880"/>
        <v>0</v>
      </c>
      <c r="CD233" s="103">
        <f>SUM(BM233:CC233)</f>
        <v>0</v>
      </c>
      <c r="CE233" s="52"/>
      <c r="CF233" s="107">
        <f>J233</f>
        <v>0</v>
      </c>
      <c r="CG233" s="104" t="e">
        <f>CD233/CF233</f>
        <v>#DIV/0!</v>
      </c>
      <c r="CH233" s="53" t="e">
        <f>Seilareal/Lwl/Lwl</f>
        <v>#DIV/0!</v>
      </c>
      <c r="CI233" s="119" t="e">
        <f>Seilareal/Depl^0.667/K$7</f>
        <v>#DIV/0!</v>
      </c>
      <c r="CJ233" s="53" t="e">
        <f>Seilareal/Lwl/Lwl/SApRS1</f>
        <v>#DIV/0!</v>
      </c>
      <c r="CK233" s="209"/>
      <c r="CL233" s="209" t="e">
        <f>(ROUND(TBF/CL$6,3)*CL$6)*CL$4</f>
        <v>#VALUE!</v>
      </c>
      <c r="CM233" s="110" t="str">
        <f t="shared" si="1772"/>
        <v>-</v>
      </c>
      <c r="CN233" s="64" t="str">
        <f>IF(SeilBeregnet=0,"-",(SeilBeregnet)^(1/2)*StHfaktor/(Depl+DeplTillegg/1000+Vann/1000+Diesel/1000*0.84)^(1/3))</f>
        <v>-</v>
      </c>
      <c r="CO233" s="64" t="str">
        <f t="shared" si="1759"/>
        <v>-</v>
      </c>
      <c r="CP233" s="64" t="str">
        <f t="shared" si="1760"/>
        <v>-</v>
      </c>
      <c r="CQ233" s="110" t="str">
        <f t="shared" si="1761"/>
        <v>-</v>
      </c>
      <c r="CR233" s="172" t="str">
        <f t="shared" si="1840"/>
        <v>-</v>
      </c>
      <c r="CS233" s="162"/>
      <c r="CT233" s="172" t="str">
        <f t="shared" si="1660"/>
        <v>-</v>
      </c>
      <c r="CU233" s="164"/>
      <c r="CV233" s="195" t="s">
        <v>145</v>
      </c>
      <c r="CW233" s="64" t="s">
        <v>111</v>
      </c>
      <c r="CX233" s="64" t="s">
        <v>111</v>
      </c>
      <c r="CY233" s="64" t="s">
        <v>111</v>
      </c>
      <c r="CZ233" s="154" t="s">
        <v>111</v>
      </c>
      <c r="DA233" s="64" t="str">
        <f t="shared" si="1663"/>
        <v>-</v>
      </c>
      <c r="DB233" s="49">
        <f t="shared" si="1664"/>
        <v>0</v>
      </c>
      <c r="DC233" s="50">
        <f t="shared" si="1665"/>
        <v>0</v>
      </c>
      <c r="DE233" s="110" t="str">
        <f>IF(SeilBeregnet=0,"-",DE$7*(DG:DG+DE$6)*DL:DL*PropF+ErfaringsF+Dyp_F)</f>
        <v>-</v>
      </c>
      <c r="DF233" s="144" t="str">
        <f t="shared" si="1867"/>
        <v>-</v>
      </c>
      <c r="DG233" s="110">
        <f t="shared" si="1667"/>
        <v>0</v>
      </c>
      <c r="DH233" s="136">
        <f>IF(SeilBeregnet=0,DH232,(SeilBeregnet^0.5/(Depl^0.3333))^DH$3*DH$7)</f>
        <v>0</v>
      </c>
      <c r="DI233" s="136">
        <f>IF(SeilBeregnet=0,DI232,(SeilBeregnet^0.5/Lwl)^DI$3*DI$7)</f>
        <v>0</v>
      </c>
      <c r="DJ233" s="136">
        <f>IF(SeilBeregnet=0,DJ232,(0.1*Loa/Depl^0.3333)^DJ$3*DJ$7)</f>
        <v>0</v>
      </c>
      <c r="DK233" s="136">
        <f>IF(SeilBeregnet=0,DK232,((Loa)/Bredde)^DK$3*DK$7)</f>
        <v>0</v>
      </c>
      <c r="DL233" s="110">
        <f>IF(SeilBeregnet=0,DL232,(Lwl)^DL$3)</f>
        <v>0</v>
      </c>
      <c r="DM233" s="136">
        <f>IF(SeilBeregnet=0,DM232,(Dypg/Loa)^DM$3*5*DM$7)</f>
        <v>0</v>
      </c>
      <c r="DO233" s="110" t="str">
        <f t="shared" si="669"/>
        <v>-</v>
      </c>
      <c r="DP233" s="110" t="str">
        <f t="shared" si="1668"/>
        <v>-</v>
      </c>
      <c r="DR233" s="110" t="str">
        <f t="shared" si="1669"/>
        <v>-</v>
      </c>
      <c r="DS233" s="125" t="str">
        <f t="shared" si="1868"/>
        <v>-</v>
      </c>
      <c r="DT233" s="110" t="str">
        <f t="shared" si="1671"/>
        <v>-</v>
      </c>
      <c r="DU233" s="125" t="str">
        <f t="shared" si="1869"/>
        <v>-</v>
      </c>
      <c r="DV233" s="110">
        <f>IF(SeilBeregnet=0,DV232,SeilBeregnet^0.5/Depl^0.33333)</f>
        <v>0</v>
      </c>
      <c r="DW233" s="110">
        <f>IF(SeilBeregnet=0,DW232,Lwl^0.3333)</f>
        <v>0</v>
      </c>
      <c r="DX233" s="110">
        <f>IF(SeilBeregnet=0,DX232,((Loa+Lwl)/Bredde)^DX$3)</f>
        <v>0</v>
      </c>
      <c r="DZ233" s="110" t="str">
        <f t="shared" si="1673"/>
        <v>-</v>
      </c>
      <c r="EB233" s="110">
        <f>IF(SeilBeregnet=0,EB232,SeilBeregnet^0.5/Depl^0.33333)</f>
        <v>0</v>
      </c>
      <c r="EC233" s="110">
        <f>IF(SeilBeregnet=0,EC232,Lwl^EC$3)</f>
        <v>0</v>
      </c>
      <c r="ED233" s="110">
        <f>IF(SeilBeregnet=0,ED232,((Loa+Lwl)/Bredde)^ED$3)</f>
        <v>0</v>
      </c>
      <c r="EE233" s="110" t="str">
        <f t="shared" si="1674"/>
        <v>-</v>
      </c>
      <c r="EG233" s="110">
        <f>IF(SeilBeregnet=0,EG232,(EH233*EI233)^EG$3)</f>
        <v>0</v>
      </c>
      <c r="EH233" s="110">
        <f>IF(SeilBeregnet=0,EH232,SeilBeregnet^0.5/Depl^0.33333)</f>
        <v>0</v>
      </c>
      <c r="EI233" s="110">
        <f>IF(SeilBeregnet=0,EI232,((Loa+Lwl)/Bredde)^EI$3)</f>
        <v>0</v>
      </c>
      <c r="EJ233" s="110">
        <f>IF(SeilBeregnet=0,EJ232,Lwl^EJ$3)</f>
        <v>0</v>
      </c>
      <c r="EK233" s="110" t="str">
        <f>IF(SeilBeregnet=0,"-",EK$7*(EK$4*EM:EM+EK$6)*EP:EP*PropF+ErfaringsF+Dyp_F)</f>
        <v>-</v>
      </c>
      <c r="EM233" s="110">
        <f>IF(SeilBeregnet=0,EM232,(EN:EN*EO:EO)^EM$3)</f>
        <v>0</v>
      </c>
      <c r="EN233" s="110">
        <f>IF(SeilBeregnet=0,EN232,SeilBeregnet^0.5/Depl^0.33333)</f>
        <v>0</v>
      </c>
      <c r="EO233" s="110">
        <f>IF(SeilBeregnet=0,EO232,((Loa+Lwl)/Bredde/6)^EO$3)</f>
        <v>0</v>
      </c>
      <c r="EP233" s="110">
        <f>IF(SeilBeregnet=0,EP232,(Lwl*0.7+Loa*0.3)^EP$3)</f>
        <v>0</v>
      </c>
      <c r="EQ233" s="110" t="str">
        <f>IF(SeilBeregnet=0,"-",EQ$7*(ES:ES+EQ$6)*EV:EV*PropF+ErfaringsF+Dyp_F)</f>
        <v>-</v>
      </c>
      <c r="ES233" s="110">
        <f>(ET:ET*EU:EU)^ES$3</f>
        <v>0</v>
      </c>
      <c r="ET233" s="110">
        <f>IF(SeilBeregnet=0,ET232,SeilBeregnet^0.5/Depl^0.3333)</f>
        <v>0</v>
      </c>
      <c r="EU233" s="110">
        <f>IF(SeilBeregnet=0,EU232,((Loa+Lwl)/Bredde/6)^EU$3)</f>
        <v>0</v>
      </c>
      <c r="EV233" s="110">
        <f>IF(SeilBeregnet=0,EV232,(Lwl*0.7+Loa*0.3)^EV$3)</f>
        <v>0</v>
      </c>
      <c r="EW233" s="110" t="str">
        <f>IF(SeilBeregnet=0,"-",EW$7*(EY:EY+EW$6)*FB:FB*PropF+ErfaringsF+Dyp_F)</f>
        <v>-</v>
      </c>
      <c r="EX233" s="144" t="str">
        <f t="shared" si="1870"/>
        <v>-</v>
      </c>
      <c r="EY233" s="110">
        <f>(EZ:EZ*FA:FA)^EY$3</f>
        <v>0</v>
      </c>
      <c r="EZ233" s="136">
        <f>IF(SeilBeregnet=0,EZ232,(SeilBeregnet^0.5/(Depl^0.3333))^EZ$3)</f>
        <v>0</v>
      </c>
      <c r="FA233" s="136">
        <f>IF(SeilBeregnet=0,FA232,((Loa+Lwl)/Bredde/6)^FA$3)</f>
        <v>0</v>
      </c>
      <c r="FB233" s="110">
        <f>IF(SeilBeregnet=0,FB232,(Lwl*0.07+Loa*0.03)^FB$3)</f>
        <v>0</v>
      </c>
      <c r="FC233" s="110" t="str">
        <f>IF(SeilBeregnet=0,"-",FC$7*(FE:FE+FC$6)*FI:FI*PropF+ErfaringsF+Dyp_F)</f>
        <v>-</v>
      </c>
      <c r="FD233" s="144" t="str">
        <f t="shared" si="1871"/>
        <v>-</v>
      </c>
      <c r="FE233" s="110">
        <f>(FF:FF+FG:FG+FH:FH)^FE$3+FE$7</f>
        <v>-0.5</v>
      </c>
      <c r="FF233" s="136">
        <f>IF(SeilBeregnet=0,FF232,(SeilBeregnet^0.5/(Depl^0.3333))^FF$3)</f>
        <v>0</v>
      </c>
      <c r="FG233" s="136">
        <f>IF(SeilBeregnet=0,FG232,(SeilBeregnet^0.5/Lwl*FG$7)^FG$3)</f>
        <v>0</v>
      </c>
      <c r="FH233" s="136">
        <f>IF(SeilBeregnet=0,FH232,((Loa)/Bredde)^FH$3*FH$7)</f>
        <v>0</v>
      </c>
      <c r="FI233" s="110">
        <f>IF(SeilBeregnet=0,FI232,(Lwl)^FI$3)</f>
        <v>0</v>
      </c>
      <c r="FJ233" s="110" t="str">
        <f>IF(SeilBeregnet=0,"-",FJ$7*(FL:FL+FJ$6)*FO:FO*PropF+ErfaringsF+Dyp_F)</f>
        <v>-</v>
      </c>
      <c r="FK233" s="144" t="str">
        <f t="shared" si="1872"/>
        <v>-</v>
      </c>
      <c r="FL233" s="110">
        <f>(FM:FM*FN:FN)^FL$3</f>
        <v>0</v>
      </c>
      <c r="FM233" s="136">
        <f>IF(SeilBeregnet=0,FM232,(SeilBeregnet^0.5/(Depl^0.3333))^FM$3)</f>
        <v>0</v>
      </c>
      <c r="FN233" s="136">
        <f>IF(SeilBeregnet=0,FN232,(Loa/Bredde)^FN$3)</f>
        <v>0</v>
      </c>
      <c r="FO233" s="110">
        <f>IF(SeilBeregnet=0,FO232,Lwl^FO$3)</f>
        <v>0</v>
      </c>
      <c r="FQ233" s="374">
        <v>1</v>
      </c>
      <c r="FR233" s="64" t="str">
        <f t="shared" si="1853"/>
        <v>-</v>
      </c>
      <c r="FS233" s="479"/>
      <c r="FT233" s="18"/>
      <c r="FU233" s="481"/>
      <c r="FV233" s="504"/>
      <c r="FW233" s="18"/>
      <c r="FX233" s="18"/>
      <c r="FY233" s="18"/>
      <c r="FZ233" s="18"/>
      <c r="GB233" s="18"/>
      <c r="GC233" s="481"/>
      <c r="GD233" s="8"/>
      <c r="GE233" s="8"/>
      <c r="GF233" s="8"/>
      <c r="GG233" s="8"/>
      <c r="GI233" s="18"/>
      <c r="GJ233" s="18"/>
      <c r="GK233" s="18"/>
      <c r="GL233" s="18"/>
      <c r="GM233" s="18"/>
      <c r="GN233" s="18"/>
      <c r="GO233" s="18"/>
      <c r="GP233" s="18"/>
    </row>
    <row r="234" spans="1:198" ht="15.6" x14ac:dyDescent="0.3">
      <c r="A234" s="62"/>
      <c r="B234" s="223"/>
      <c r="C234" s="63" t="str">
        <f t="shared" si="1881"/>
        <v>Bermuda</v>
      </c>
      <c r="D234" s="63"/>
      <c r="E234" s="63"/>
      <c r="F234" s="63"/>
      <c r="G234" s="56"/>
      <c r="H234" s="209" t="e">
        <f>TBFavrundet</f>
        <v>#VALUE!</v>
      </c>
      <c r="I234" s="65">
        <f>COUNTA(O234:AD234)</f>
        <v>0</v>
      </c>
      <c r="J234" s="228">
        <f>SUM(O234:AD234)</f>
        <v>0</v>
      </c>
      <c r="K234" s="119" t="e">
        <f>Seilareal/Depl^0.667/K$7</f>
        <v>#DIV/0!</v>
      </c>
      <c r="L234" s="119" t="e">
        <f>Seilareal/Lwl/Lwl/L$7</f>
        <v>#DIV/0!</v>
      </c>
      <c r="M234" s="95" t="e">
        <f>RiggF</f>
        <v>#DIV/0!</v>
      </c>
      <c r="N234" s="265" t="str">
        <f>StHfaktor</f>
        <v>-</v>
      </c>
      <c r="O234" s="147"/>
      <c r="P234" s="147"/>
      <c r="Q234" s="147"/>
      <c r="R234" s="147"/>
      <c r="S234" s="147"/>
      <c r="T234" s="147"/>
      <c r="U234" s="148"/>
      <c r="V234" s="148"/>
      <c r="W234" s="148"/>
      <c r="X234" s="148"/>
      <c r="Y234" s="147"/>
      <c r="Z234" s="147"/>
      <c r="AA234" s="147"/>
      <c r="AB234" s="147"/>
      <c r="AC234" s="147"/>
      <c r="AD234" s="148"/>
      <c r="AE234" s="260">
        <f t="shared" si="1873"/>
        <v>0</v>
      </c>
      <c r="AF234" s="375">
        <f t="shared" si="1874"/>
        <v>0</v>
      </c>
      <c r="AG234" s="377"/>
      <c r="AH234" s="375">
        <f t="shared" si="1874"/>
        <v>0</v>
      </c>
      <c r="AI234" s="377"/>
      <c r="AJ234" s="295" t="str">
        <f t="shared" ref="AJ234" si="1886" xml:space="preserve"> AJ233</f>
        <v>Meter</v>
      </c>
      <c r="AK234" s="47">
        <f>VLOOKUP(AJ234,Skrogform!$1:$1048576,3,FALSE)</f>
        <v>1</v>
      </c>
      <c r="AL234" s="66">
        <f t="shared" si="1873"/>
        <v>0</v>
      </c>
      <c r="AM234" s="66">
        <f t="shared" ref="AM234:AT234" si="1887">AM233</f>
        <v>0</v>
      </c>
      <c r="AN234" s="66">
        <f t="shared" si="1887"/>
        <v>0</v>
      </c>
      <c r="AO234" s="66">
        <f t="shared" si="1887"/>
        <v>0</v>
      </c>
      <c r="AP234" s="66">
        <f t="shared" si="1887"/>
        <v>0</v>
      </c>
      <c r="AQ234" s="66">
        <f t="shared" si="1887"/>
        <v>0</v>
      </c>
      <c r="AR234" s="66">
        <f t="shared" si="1887"/>
        <v>0</v>
      </c>
      <c r="AS234" s="284">
        <f t="shared" si="1887"/>
        <v>0</v>
      </c>
      <c r="AT234" s="284">
        <f t="shared" si="1887"/>
        <v>0</v>
      </c>
      <c r="AU234" s="284">
        <f t="shared" ref="AU234:AV234" si="1888">AU233</f>
        <v>0</v>
      </c>
      <c r="AV234" s="284">
        <f t="shared" si="1888"/>
        <v>0</v>
      </c>
      <c r="AW234" s="284"/>
      <c r="AX234" s="284">
        <f>AX233</f>
        <v>0</v>
      </c>
      <c r="AY234" s="68"/>
      <c r="AZ234" s="68"/>
      <c r="BA234" s="289"/>
      <c r="BB234" s="68"/>
      <c r="BC234" s="179"/>
      <c r="BD234" s="68"/>
      <c r="BE234" s="68"/>
      <c r="BF234" s="67">
        <f t="shared" ref="BF234:BH234" si="1889" xml:space="preserve"> BF233</f>
        <v>0</v>
      </c>
      <c r="BG234" s="295">
        <f t="shared" si="1889"/>
        <v>0</v>
      </c>
      <c r="BH234" s="295">
        <f t="shared" si="1889"/>
        <v>0</v>
      </c>
      <c r="BI234" s="47">
        <f t="shared" si="1662"/>
        <v>1</v>
      </c>
      <c r="BJ234" s="61"/>
      <c r="BK234" s="61"/>
      <c r="BM234" s="51">
        <f t="shared" si="1879"/>
        <v>0</v>
      </c>
      <c r="BN234" s="51">
        <f t="shared" si="1879"/>
        <v>0</v>
      </c>
      <c r="BO234" s="51">
        <f t="shared" si="1879"/>
        <v>0</v>
      </c>
      <c r="BP234" s="51">
        <f t="shared" si="1879"/>
        <v>0</v>
      </c>
      <c r="BQ234" s="51">
        <f t="shared" si="1879"/>
        <v>0</v>
      </c>
      <c r="BR234" s="51">
        <f t="shared" si="1879"/>
        <v>0</v>
      </c>
      <c r="BS234" s="52">
        <f>IF(COUNT(P234:T234)&gt;1,MINA(P234:T234)*BS$9,0)</f>
        <v>0</v>
      </c>
      <c r="BT234" s="88">
        <f t="shared" si="1880"/>
        <v>0</v>
      </c>
      <c r="BU234" s="88">
        <f t="shared" si="1880"/>
        <v>0</v>
      </c>
      <c r="BV234" s="88">
        <f t="shared" si="1880"/>
        <v>0</v>
      </c>
      <c r="BW234" s="88">
        <f t="shared" si="1880"/>
        <v>0</v>
      </c>
      <c r="BX234" s="88">
        <f t="shared" si="1880"/>
        <v>0</v>
      </c>
      <c r="BY234" s="88">
        <f t="shared" si="1880"/>
        <v>0</v>
      </c>
      <c r="BZ234" s="88">
        <f t="shared" si="1880"/>
        <v>0</v>
      </c>
      <c r="CA234" s="88">
        <f t="shared" si="1880"/>
        <v>0</v>
      </c>
      <c r="CB234" s="88">
        <f t="shared" si="1880"/>
        <v>0</v>
      </c>
      <c r="CC234" s="88">
        <f t="shared" si="1880"/>
        <v>0</v>
      </c>
      <c r="CD234" s="103">
        <f>SUM(BM234:CC234)</f>
        <v>0</v>
      </c>
      <c r="CE234" s="52"/>
      <c r="CF234" s="107">
        <f>J234</f>
        <v>0</v>
      </c>
      <c r="CG234" s="104" t="e">
        <f>CD234/CF234</f>
        <v>#DIV/0!</v>
      </c>
      <c r="CH234" s="53" t="e">
        <f>Seilareal/Lwl/Lwl</f>
        <v>#DIV/0!</v>
      </c>
      <c r="CI234" s="119" t="e">
        <f>Seilareal/Depl^0.667/K$7</f>
        <v>#DIV/0!</v>
      </c>
      <c r="CJ234" s="53" t="e">
        <f>Seilareal/Lwl/Lwl/SApRS1</f>
        <v>#DIV/0!</v>
      </c>
      <c r="CK234" s="209"/>
      <c r="CL234" s="209" t="e">
        <f>(ROUND(TBF/CL$6,3)*CL$6)*CL$4</f>
        <v>#VALUE!</v>
      </c>
      <c r="CM234" s="110" t="str">
        <f t="shared" si="1772"/>
        <v>-</v>
      </c>
      <c r="CN234" s="64" t="str">
        <f>IF(SeilBeregnet=0,"-",(SeilBeregnet)^(1/2)*StHfaktor/(Depl+DeplTillegg/1000+Vann/1000+Diesel/1000*0.84)^(1/3))</f>
        <v>-</v>
      </c>
      <c r="CO234" s="64" t="str">
        <f t="shared" si="1759"/>
        <v>-</v>
      </c>
      <c r="CP234" s="64" t="str">
        <f t="shared" si="1760"/>
        <v>-</v>
      </c>
      <c r="CQ234" s="110" t="str">
        <f t="shared" si="1761"/>
        <v>-</v>
      </c>
      <c r="CR234" s="172" t="str">
        <f t="shared" si="1840"/>
        <v>-</v>
      </c>
      <c r="CS234" s="162"/>
      <c r="CT234" s="172" t="str">
        <f t="shared" si="1660"/>
        <v>-</v>
      </c>
      <c r="CU234" s="164"/>
      <c r="CV234" s="195" t="s">
        <v>145</v>
      </c>
      <c r="CW234" s="64" t="s">
        <v>111</v>
      </c>
      <c r="CX234" s="64" t="s">
        <v>111</v>
      </c>
      <c r="CY234" s="64" t="s">
        <v>111</v>
      </c>
      <c r="CZ234" s="154" t="s">
        <v>111</v>
      </c>
      <c r="DA234" s="64" t="str">
        <f t="shared" si="1663"/>
        <v>-</v>
      </c>
      <c r="DB234" s="49">
        <f t="shared" si="1664"/>
        <v>0</v>
      </c>
      <c r="DC234" s="50">
        <f t="shared" si="1665"/>
        <v>0</v>
      </c>
      <c r="DE234" s="110" t="str">
        <f>IF(SeilBeregnet=0,"-",DE$7*(DG:DG+DE$6)*DL:DL*PropF+ErfaringsF+Dyp_F)</f>
        <v>-</v>
      </c>
      <c r="DF234" s="144" t="str">
        <f t="shared" si="1867"/>
        <v>-</v>
      </c>
      <c r="DG234" s="110">
        <f t="shared" si="1667"/>
        <v>0</v>
      </c>
      <c r="DH234" s="136">
        <f>IF(SeilBeregnet=0,DH233,(SeilBeregnet^0.5/(Depl^0.3333))^DH$3*DH$7)</f>
        <v>0</v>
      </c>
      <c r="DI234" s="136">
        <f>IF(SeilBeregnet=0,DI233,(SeilBeregnet^0.5/Lwl)^DI$3*DI$7)</f>
        <v>0</v>
      </c>
      <c r="DJ234" s="136">
        <f>IF(SeilBeregnet=0,DJ233,(0.1*Loa/Depl^0.3333)^DJ$3*DJ$7)</f>
        <v>0</v>
      </c>
      <c r="DK234" s="136">
        <f>IF(SeilBeregnet=0,DK233,((Loa)/Bredde)^DK$3*DK$7)</f>
        <v>0</v>
      </c>
      <c r="DL234" s="110">
        <f>IF(SeilBeregnet=0,DL233,(Lwl)^DL$3)</f>
        <v>0</v>
      </c>
      <c r="DM234" s="136">
        <f>IF(SeilBeregnet=0,DM233,(Dypg/Loa)^DM$3*5*DM$7)</f>
        <v>0</v>
      </c>
      <c r="DO234" s="110" t="str">
        <f t="shared" si="669"/>
        <v>-</v>
      </c>
      <c r="DP234" s="110" t="str">
        <f t="shared" si="1668"/>
        <v>-</v>
      </c>
      <c r="DR234" s="110" t="str">
        <f t="shared" si="1669"/>
        <v>-</v>
      </c>
      <c r="DS234" s="125" t="str">
        <f t="shared" si="1868"/>
        <v>-</v>
      </c>
      <c r="DT234" s="110" t="str">
        <f t="shared" si="1671"/>
        <v>-</v>
      </c>
      <c r="DU234" s="125" t="str">
        <f t="shared" si="1869"/>
        <v>-</v>
      </c>
      <c r="DV234" s="110">
        <f>IF(SeilBeregnet=0,DV233,SeilBeregnet^0.5/Depl^0.33333)</f>
        <v>0</v>
      </c>
      <c r="DW234" s="110">
        <f>IF(SeilBeregnet=0,DW233,Lwl^0.3333)</f>
        <v>0</v>
      </c>
      <c r="DX234" s="110">
        <f>IF(SeilBeregnet=0,DX233,((Loa+Lwl)/Bredde)^DX$3)</f>
        <v>0</v>
      </c>
      <c r="DZ234" s="110" t="str">
        <f t="shared" si="1673"/>
        <v>-</v>
      </c>
      <c r="EB234" s="110">
        <f>IF(SeilBeregnet=0,EB233,SeilBeregnet^0.5/Depl^0.33333)</f>
        <v>0</v>
      </c>
      <c r="EC234" s="110">
        <f>IF(SeilBeregnet=0,EC233,Lwl^EC$3)</f>
        <v>0</v>
      </c>
      <c r="ED234" s="110">
        <f>IF(SeilBeregnet=0,ED233,((Loa+Lwl)/Bredde)^ED$3)</f>
        <v>0</v>
      </c>
      <c r="EE234" s="110" t="str">
        <f t="shared" si="1674"/>
        <v>-</v>
      </c>
      <c r="EG234" s="110">
        <f>IF(SeilBeregnet=0,EG233,(EH234*EI234)^EG$3)</f>
        <v>0</v>
      </c>
      <c r="EH234" s="110">
        <f>IF(SeilBeregnet=0,EH233,SeilBeregnet^0.5/Depl^0.33333)</f>
        <v>0</v>
      </c>
      <c r="EI234" s="110">
        <f>IF(SeilBeregnet=0,EI233,((Loa+Lwl)/Bredde)^EI$3)</f>
        <v>0</v>
      </c>
      <c r="EJ234" s="110">
        <f>IF(SeilBeregnet=0,EJ233,Lwl^EJ$3)</f>
        <v>0</v>
      </c>
      <c r="EK234" s="110" t="str">
        <f>IF(SeilBeregnet=0,"-",EK$7*(EK$4*EM:EM+EK$6)*EP:EP*PropF+ErfaringsF+Dyp_F)</f>
        <v>-</v>
      </c>
      <c r="EM234" s="110">
        <f>IF(SeilBeregnet=0,EM233,(EN:EN*EO:EO)^EM$3)</f>
        <v>0</v>
      </c>
      <c r="EN234" s="110">
        <f>IF(SeilBeregnet=0,EN233,SeilBeregnet^0.5/Depl^0.33333)</f>
        <v>0</v>
      </c>
      <c r="EO234" s="110">
        <f>IF(SeilBeregnet=0,EO233,((Loa+Lwl)/Bredde/6)^EO$3)</f>
        <v>0</v>
      </c>
      <c r="EP234" s="110">
        <f>IF(SeilBeregnet=0,EP233,(Lwl*0.7+Loa*0.3)^EP$3)</f>
        <v>0</v>
      </c>
      <c r="EQ234" s="110" t="str">
        <f>IF(SeilBeregnet=0,"-",EQ$7*(ES:ES+EQ$6)*EV:EV*PropF+ErfaringsF+Dyp_F)</f>
        <v>-</v>
      </c>
      <c r="ES234" s="110">
        <f>(ET:ET*EU:EU)^ES$3</f>
        <v>0</v>
      </c>
      <c r="ET234" s="110">
        <f>IF(SeilBeregnet=0,ET233,SeilBeregnet^0.5/Depl^0.3333)</f>
        <v>0</v>
      </c>
      <c r="EU234" s="110">
        <f>IF(SeilBeregnet=0,EU233,((Loa+Lwl)/Bredde/6)^EU$3)</f>
        <v>0</v>
      </c>
      <c r="EV234" s="110">
        <f>IF(SeilBeregnet=0,EV233,(Lwl*0.7+Loa*0.3)^EV$3)</f>
        <v>0</v>
      </c>
      <c r="EW234" s="110" t="str">
        <f>IF(SeilBeregnet=0,"-",EW$7*(EY:EY+EW$6)*FB:FB*PropF+ErfaringsF+Dyp_F)</f>
        <v>-</v>
      </c>
      <c r="EX234" s="144" t="str">
        <f t="shared" si="1870"/>
        <v>-</v>
      </c>
      <c r="EY234" s="110">
        <f>(EZ:EZ*FA:FA)^EY$3</f>
        <v>0</v>
      </c>
      <c r="EZ234" s="136">
        <f>IF(SeilBeregnet=0,EZ233,(SeilBeregnet^0.5/(Depl^0.3333))^EZ$3)</f>
        <v>0</v>
      </c>
      <c r="FA234" s="136">
        <f>IF(SeilBeregnet=0,FA233,((Loa+Lwl)/Bredde/6)^FA$3)</f>
        <v>0</v>
      </c>
      <c r="FB234" s="110">
        <f>IF(SeilBeregnet=0,FB233,(Lwl*0.07+Loa*0.03)^FB$3)</f>
        <v>0</v>
      </c>
      <c r="FC234" s="110" t="str">
        <f>IF(SeilBeregnet=0,"-",FC$7*(FE:FE+FC$6)*FI:FI*PropF+ErfaringsF+Dyp_F)</f>
        <v>-</v>
      </c>
      <c r="FD234" s="144" t="str">
        <f t="shared" si="1871"/>
        <v>-</v>
      </c>
      <c r="FE234" s="110">
        <f>(FF:FF+FG:FG+FH:FH)^FE$3+FE$7</f>
        <v>-0.5</v>
      </c>
      <c r="FF234" s="136">
        <f>IF(SeilBeregnet=0,FF233,(SeilBeregnet^0.5/(Depl^0.3333))^FF$3)</f>
        <v>0</v>
      </c>
      <c r="FG234" s="136">
        <f>IF(SeilBeregnet=0,FG233,(SeilBeregnet^0.5/Lwl*FG$7)^FG$3)</f>
        <v>0</v>
      </c>
      <c r="FH234" s="136">
        <f>IF(SeilBeregnet=0,FH233,((Loa)/Bredde)^FH$3*FH$7)</f>
        <v>0</v>
      </c>
      <c r="FI234" s="110">
        <f>IF(SeilBeregnet=0,FI233,(Lwl)^FI$3)</f>
        <v>0</v>
      </c>
      <c r="FJ234" s="110" t="str">
        <f>IF(SeilBeregnet=0,"-",FJ$7*(FL:FL+FJ$6)*FO:FO*PropF+ErfaringsF+Dyp_F)</f>
        <v>-</v>
      </c>
      <c r="FK234" s="144" t="str">
        <f t="shared" si="1872"/>
        <v>-</v>
      </c>
      <c r="FL234" s="110">
        <f>(FM:FM*FN:FN)^FL$3</f>
        <v>0</v>
      </c>
      <c r="FM234" s="136">
        <f>IF(SeilBeregnet=0,FM233,(SeilBeregnet^0.5/(Depl^0.3333))^FM$3)</f>
        <v>0</v>
      </c>
      <c r="FN234" s="136">
        <f>IF(SeilBeregnet=0,FN233,(Loa/Bredde)^FN$3)</f>
        <v>0</v>
      </c>
      <c r="FO234" s="110">
        <f>IF(SeilBeregnet=0,FO233,Lwl^FO$3)</f>
        <v>0</v>
      </c>
      <c r="FQ234" s="374">
        <v>1</v>
      </c>
      <c r="FR234" s="64" t="str">
        <f t="shared" si="1853"/>
        <v>-</v>
      </c>
      <c r="FS234" s="479"/>
      <c r="FT234" s="18"/>
      <c r="FU234" s="481"/>
      <c r="FV234" s="504"/>
      <c r="FW234" s="18"/>
      <c r="FX234" s="18"/>
      <c r="FY234" s="18"/>
      <c r="FZ234" s="18"/>
      <c r="GB234" s="18"/>
      <c r="GC234" s="481"/>
      <c r="GD234" s="8"/>
      <c r="GE234" s="8"/>
      <c r="GF234" s="8"/>
      <c r="GG234" s="8"/>
      <c r="GI234" s="18"/>
      <c r="GJ234" s="18"/>
      <c r="GK234" s="18"/>
      <c r="GL234" s="18"/>
      <c r="GM234" s="18"/>
      <c r="GN234" s="18"/>
      <c r="GO234" s="18"/>
      <c r="GP234" s="18"/>
    </row>
    <row r="235" spans="1:198" ht="15.6" x14ac:dyDescent="0.3">
      <c r="A235" s="62" t="str">
        <f>A$3</f>
        <v>TBF 2023-55h</v>
      </c>
      <c r="B235" s="223"/>
      <c r="C235" s="63" t="str">
        <f t="shared" si="1881"/>
        <v>Bermuda</v>
      </c>
      <c r="D235" s="63"/>
      <c r="E235" s="63"/>
      <c r="F235" s="63"/>
      <c r="G235" s="56"/>
      <c r="H235" s="209" t="e">
        <f>TBFavrundet</f>
        <v>#VALUE!</v>
      </c>
      <c r="I235" s="65">
        <f>COUNTA(O235:AD235)</f>
        <v>0</v>
      </c>
      <c r="J235" s="228">
        <f>SUM(O235:AD235)</f>
        <v>0</v>
      </c>
      <c r="K235" s="119" t="e">
        <f>Seilareal/Depl^0.667/K$7</f>
        <v>#DIV/0!</v>
      </c>
      <c r="L235" s="119" t="e">
        <f>Seilareal/Lwl/Lwl/L$7</f>
        <v>#DIV/0!</v>
      </c>
      <c r="M235" s="95" t="e">
        <f>RiggF</f>
        <v>#DIV/0!</v>
      </c>
      <c r="N235" s="265" t="str">
        <f>StHfaktor</f>
        <v>-</v>
      </c>
      <c r="O235" s="147"/>
      <c r="P235" s="147"/>
      <c r="Q235" s="147"/>
      <c r="R235" s="147"/>
      <c r="S235" s="147"/>
      <c r="T235" s="147"/>
      <c r="U235" s="148"/>
      <c r="V235" s="148"/>
      <c r="W235" s="148"/>
      <c r="X235" s="148"/>
      <c r="Y235" s="147"/>
      <c r="Z235" s="147"/>
      <c r="AA235" s="147"/>
      <c r="AB235" s="147"/>
      <c r="AC235" s="147"/>
      <c r="AD235" s="148"/>
      <c r="AE235" s="260">
        <f t="shared" si="1873"/>
        <v>0</v>
      </c>
      <c r="AF235" s="295">
        <f t="shared" ref="AF235" si="1890" xml:space="preserve"> AF234</f>
        <v>0</v>
      </c>
      <c r="AG235" s="377"/>
      <c r="AH235" s="295">
        <f t="shared" ref="AH235:AJ235" si="1891" xml:space="preserve"> AH234</f>
        <v>0</v>
      </c>
      <c r="AI235" s="377"/>
      <c r="AJ235" s="295" t="str">
        <f t="shared" si="1891"/>
        <v>Meter</v>
      </c>
      <c r="AK235" s="47">
        <f>VLOOKUP(AJ235,Skrogform!$1:$1048576,3,FALSE)</f>
        <v>1</v>
      </c>
      <c r="AL235" s="66">
        <f t="shared" si="1873"/>
        <v>0</v>
      </c>
      <c r="AM235" s="66">
        <f t="shared" ref="AM235:AT235" si="1892">AM234</f>
        <v>0</v>
      </c>
      <c r="AN235" s="66">
        <f t="shared" si="1892"/>
        <v>0</v>
      </c>
      <c r="AO235" s="66">
        <f t="shared" si="1892"/>
        <v>0</v>
      </c>
      <c r="AP235" s="66">
        <f t="shared" si="1892"/>
        <v>0</v>
      </c>
      <c r="AQ235" s="66">
        <f t="shared" si="1892"/>
        <v>0</v>
      </c>
      <c r="AR235" s="66">
        <f t="shared" si="1892"/>
        <v>0</v>
      </c>
      <c r="AS235" s="284">
        <f t="shared" si="1892"/>
        <v>0</v>
      </c>
      <c r="AT235" s="284">
        <f t="shared" si="1892"/>
        <v>0</v>
      </c>
      <c r="AU235" s="284">
        <f t="shared" ref="AU235:AV235" si="1893">AU234</f>
        <v>0</v>
      </c>
      <c r="AV235" s="284">
        <f t="shared" si="1893"/>
        <v>0</v>
      </c>
      <c r="AW235" s="284"/>
      <c r="AX235" s="284">
        <f>AX234</f>
        <v>0</v>
      </c>
      <c r="AY235" s="68"/>
      <c r="AZ235" s="68"/>
      <c r="BA235" s="289"/>
      <c r="BB235" s="68"/>
      <c r="BC235" s="179"/>
      <c r="BD235" s="68"/>
      <c r="BE235" s="68"/>
      <c r="BF235" s="67">
        <f t="shared" ref="BF235:BH235" si="1894" xml:space="preserve"> BF234</f>
        <v>0</v>
      </c>
      <c r="BG235" s="295">
        <f t="shared" si="1894"/>
        <v>0</v>
      </c>
      <c r="BH235" s="295">
        <f t="shared" si="1894"/>
        <v>0</v>
      </c>
      <c r="BI235" s="47">
        <f t="shared" si="1662"/>
        <v>1</v>
      </c>
      <c r="BJ235" s="61"/>
      <c r="BK235" s="61"/>
      <c r="BM235" s="51">
        <f t="shared" si="1879"/>
        <v>0</v>
      </c>
      <c r="BN235" s="51">
        <f t="shared" si="1879"/>
        <v>0</v>
      </c>
      <c r="BO235" s="51">
        <f t="shared" si="1879"/>
        <v>0</v>
      </c>
      <c r="BP235" s="51">
        <f t="shared" si="1879"/>
        <v>0</v>
      </c>
      <c r="BQ235" s="51">
        <f t="shared" si="1879"/>
        <v>0</v>
      </c>
      <c r="BR235" s="51">
        <f t="shared" si="1879"/>
        <v>0</v>
      </c>
      <c r="BS235" s="52">
        <f>IF(COUNT(P235:T235)&gt;1,MINA(P235:T235)*BS$9,0)</f>
        <v>0</v>
      </c>
      <c r="BT235" s="88">
        <f t="shared" si="1880"/>
        <v>0</v>
      </c>
      <c r="BU235" s="88">
        <f t="shared" si="1880"/>
        <v>0</v>
      </c>
      <c r="BV235" s="88">
        <f t="shared" si="1880"/>
        <v>0</v>
      </c>
      <c r="BW235" s="88">
        <f t="shared" si="1880"/>
        <v>0</v>
      </c>
      <c r="BX235" s="88">
        <f t="shared" si="1880"/>
        <v>0</v>
      </c>
      <c r="BY235" s="88">
        <f t="shared" si="1880"/>
        <v>0</v>
      </c>
      <c r="BZ235" s="88">
        <f t="shared" si="1880"/>
        <v>0</v>
      </c>
      <c r="CA235" s="88">
        <f t="shared" si="1880"/>
        <v>0</v>
      </c>
      <c r="CB235" s="88">
        <f t="shared" si="1880"/>
        <v>0</v>
      </c>
      <c r="CC235" s="88">
        <f t="shared" si="1880"/>
        <v>0</v>
      </c>
      <c r="CD235" s="103">
        <f>SUM(BM235:CC235)</f>
        <v>0</v>
      </c>
      <c r="CE235" s="52"/>
      <c r="CF235" s="107">
        <f>J235</f>
        <v>0</v>
      </c>
      <c r="CG235" s="104" t="e">
        <f>CD235/CF235</f>
        <v>#DIV/0!</v>
      </c>
      <c r="CH235" s="53" t="e">
        <f>Seilareal/Lwl/Lwl</f>
        <v>#DIV/0!</v>
      </c>
      <c r="CI235" s="119" t="e">
        <f>Seilareal/Depl^0.667/K$7</f>
        <v>#DIV/0!</v>
      </c>
      <c r="CJ235" s="53" t="e">
        <f>Seilareal/Lwl/Lwl/SApRS1</f>
        <v>#DIV/0!</v>
      </c>
      <c r="CK235" s="209"/>
      <c r="CL235" s="209" t="e">
        <f>(ROUND(TBF/CL$6,3)*CL$6)*CL$4</f>
        <v>#VALUE!</v>
      </c>
      <c r="CM235" s="110" t="str">
        <f t="shared" si="1772"/>
        <v>-</v>
      </c>
      <c r="CN235" s="64" t="str">
        <f>IF(SeilBeregnet=0,"-",(SeilBeregnet)^(1/2)*StHfaktor/(Depl+DeplTillegg/1000+Vann/1000+Diesel/1000*0.84)^(1/3))</f>
        <v>-</v>
      </c>
      <c r="CO235" s="64" t="str">
        <f t="shared" si="1759"/>
        <v>-</v>
      </c>
      <c r="CP235" s="64" t="str">
        <f t="shared" si="1760"/>
        <v>-</v>
      </c>
      <c r="CQ235" s="110" t="str">
        <f t="shared" si="1761"/>
        <v>-</v>
      </c>
      <c r="CR235" s="172" t="str">
        <f t="shared" si="1840"/>
        <v>-</v>
      </c>
      <c r="CS235" s="162"/>
      <c r="CT235" s="172" t="str">
        <f t="shared" si="1660"/>
        <v>-</v>
      </c>
      <c r="CU235" s="164"/>
      <c r="CV235" s="195" t="s">
        <v>145</v>
      </c>
      <c r="CW235" s="64" t="s">
        <v>111</v>
      </c>
      <c r="CX235" s="64" t="s">
        <v>111</v>
      </c>
      <c r="CY235" s="64" t="s">
        <v>111</v>
      </c>
      <c r="CZ235" s="154" t="s">
        <v>111</v>
      </c>
      <c r="DA235" s="64" t="str">
        <f t="shared" si="1663"/>
        <v>-</v>
      </c>
      <c r="DB235" s="49">
        <f t="shared" si="1664"/>
        <v>0</v>
      </c>
      <c r="DC235" s="50">
        <f t="shared" si="1665"/>
        <v>0</v>
      </c>
      <c r="DE235" s="110" t="str">
        <f>IF(SeilBeregnet=0,"-",DE$7*(DG:DG+DE$6)*DL:DL*PropF+ErfaringsF+Dyp_F)</f>
        <v>-</v>
      </c>
      <c r="DF235" s="144" t="str">
        <f t="shared" si="1867"/>
        <v>-</v>
      </c>
      <c r="DG235" s="110">
        <f t="shared" si="1667"/>
        <v>0</v>
      </c>
      <c r="DH235" s="136">
        <f>IF(SeilBeregnet=0,DH234,(SeilBeregnet^0.5/(Depl^0.3333))^DH$3*DH$7)</f>
        <v>0</v>
      </c>
      <c r="DI235" s="136">
        <f>IF(SeilBeregnet=0,DI234,(SeilBeregnet^0.5/Lwl)^DI$3*DI$7)</f>
        <v>0</v>
      </c>
      <c r="DJ235" s="136">
        <f>IF(SeilBeregnet=0,DJ234,(0.1*Loa/Depl^0.3333)^DJ$3*DJ$7)</f>
        <v>0</v>
      </c>
      <c r="DK235" s="136">
        <f>IF(SeilBeregnet=0,DK234,((Loa)/Bredde)^DK$3*DK$7)</f>
        <v>0</v>
      </c>
      <c r="DL235" s="110">
        <f>IF(SeilBeregnet=0,DL234,(Lwl)^DL$3)</f>
        <v>0</v>
      </c>
      <c r="DM235" s="136">
        <f>IF(SeilBeregnet=0,DM234,(Dypg/Loa)^DM$3*5*DM$7)</f>
        <v>0</v>
      </c>
      <c r="DO235" s="110" t="str">
        <f t="shared" si="669"/>
        <v>-</v>
      </c>
      <c r="DP235" s="110" t="str">
        <f t="shared" si="1668"/>
        <v>-</v>
      </c>
      <c r="DR235" s="110" t="str">
        <f t="shared" si="1669"/>
        <v>-</v>
      </c>
      <c r="DS235" s="125" t="str">
        <f t="shared" si="1868"/>
        <v>-</v>
      </c>
      <c r="DT235" s="110" t="str">
        <f t="shared" si="1671"/>
        <v>-</v>
      </c>
      <c r="DU235" s="125" t="str">
        <f t="shared" si="1869"/>
        <v>-</v>
      </c>
      <c r="DV235" s="110">
        <f>IF(SeilBeregnet=0,DV234,SeilBeregnet^0.5/Depl^0.33333)</f>
        <v>0</v>
      </c>
      <c r="DW235" s="110">
        <f>IF(SeilBeregnet=0,DW234,Lwl^0.3333)</f>
        <v>0</v>
      </c>
      <c r="DX235" s="110">
        <f>IF(SeilBeregnet=0,DX234,((Loa+Lwl)/Bredde)^DX$3)</f>
        <v>0</v>
      </c>
      <c r="DZ235" s="110" t="str">
        <f t="shared" si="1673"/>
        <v>-</v>
      </c>
      <c r="EB235" s="110">
        <f>IF(SeilBeregnet=0,EB234,SeilBeregnet^0.5/Depl^0.33333)</f>
        <v>0</v>
      </c>
      <c r="EC235" s="110">
        <f>IF(SeilBeregnet=0,EC234,Lwl^EC$3)</f>
        <v>0</v>
      </c>
      <c r="ED235" s="110">
        <f>IF(SeilBeregnet=0,ED234,((Loa+Lwl)/Bredde)^ED$3)</f>
        <v>0</v>
      </c>
      <c r="EE235" s="110" t="str">
        <f t="shared" si="1674"/>
        <v>-</v>
      </c>
      <c r="EG235" s="110">
        <f>IF(SeilBeregnet=0,EG234,(EH235*EI235)^EG$3)</f>
        <v>0</v>
      </c>
      <c r="EH235" s="110">
        <f>IF(SeilBeregnet=0,EH234,SeilBeregnet^0.5/Depl^0.33333)</f>
        <v>0</v>
      </c>
      <c r="EI235" s="110">
        <f>IF(SeilBeregnet=0,EI234,((Loa+Lwl)/Bredde)^EI$3)</f>
        <v>0</v>
      </c>
      <c r="EJ235" s="110">
        <f>IF(SeilBeregnet=0,EJ234,Lwl^EJ$3)</f>
        <v>0</v>
      </c>
      <c r="EK235" s="110" t="str">
        <f>IF(SeilBeregnet=0,"-",EK$7*(EK$4*EM:EM+EK$6)*EP:EP*PropF+ErfaringsF+Dyp_F)</f>
        <v>-</v>
      </c>
      <c r="EM235" s="110">
        <f>IF(SeilBeregnet=0,EM234,(EN:EN*EO:EO)^EM$3)</f>
        <v>0</v>
      </c>
      <c r="EN235" s="110">
        <f>IF(SeilBeregnet=0,EN234,SeilBeregnet^0.5/Depl^0.33333)</f>
        <v>0</v>
      </c>
      <c r="EO235" s="110">
        <f>IF(SeilBeregnet=0,EO234,((Loa+Lwl)/Bredde/6)^EO$3)</f>
        <v>0</v>
      </c>
      <c r="EP235" s="110">
        <f>IF(SeilBeregnet=0,EP234,(Lwl*0.7+Loa*0.3)^EP$3)</f>
        <v>0</v>
      </c>
      <c r="EQ235" s="110" t="str">
        <f>IF(SeilBeregnet=0,"-",EQ$7*(ES:ES+EQ$6)*EV:EV*PropF+ErfaringsF+Dyp_F)</f>
        <v>-</v>
      </c>
      <c r="ES235" s="110">
        <f>(ET:ET*EU:EU)^ES$3</f>
        <v>0</v>
      </c>
      <c r="ET235" s="110">
        <f>IF(SeilBeregnet=0,ET234,SeilBeregnet^0.5/Depl^0.3333)</f>
        <v>0</v>
      </c>
      <c r="EU235" s="110">
        <f>IF(SeilBeregnet=0,EU234,((Loa+Lwl)/Bredde/6)^EU$3)</f>
        <v>0</v>
      </c>
      <c r="EV235" s="110">
        <f>IF(SeilBeregnet=0,EV234,(Lwl*0.7+Loa*0.3)^EV$3)</f>
        <v>0</v>
      </c>
      <c r="EW235" s="110" t="str">
        <f>IF(SeilBeregnet=0,"-",EW$7*(EY:EY+EW$6)*FB:FB*PropF+ErfaringsF+Dyp_F)</f>
        <v>-</v>
      </c>
      <c r="EX235" s="144" t="str">
        <f t="shared" si="1870"/>
        <v>-</v>
      </c>
      <c r="EY235" s="110">
        <f>(EZ:EZ*FA:FA)^EY$3</f>
        <v>0</v>
      </c>
      <c r="EZ235" s="136">
        <f>IF(SeilBeregnet=0,EZ234,(SeilBeregnet^0.5/(Depl^0.3333))^EZ$3)</f>
        <v>0</v>
      </c>
      <c r="FA235" s="136">
        <f>IF(SeilBeregnet=0,FA234,((Loa+Lwl)/Bredde/6)^FA$3)</f>
        <v>0</v>
      </c>
      <c r="FB235" s="110">
        <f>IF(SeilBeregnet=0,FB234,(Lwl*0.07+Loa*0.03)^FB$3)</f>
        <v>0</v>
      </c>
      <c r="FC235" s="110" t="str">
        <f>IF(SeilBeregnet=0,"-",FC$7*(FE:FE+FC$6)*FI:FI*PropF+ErfaringsF+Dyp_F)</f>
        <v>-</v>
      </c>
      <c r="FD235" s="144" t="str">
        <f t="shared" si="1871"/>
        <v>-</v>
      </c>
      <c r="FE235" s="110">
        <f>(FF:FF+FG:FG+FH:FH)^FE$3+FE$7</f>
        <v>-0.5</v>
      </c>
      <c r="FF235" s="136">
        <f>IF(SeilBeregnet=0,FF234,(SeilBeregnet^0.5/(Depl^0.3333))^FF$3)</f>
        <v>0</v>
      </c>
      <c r="FG235" s="136">
        <f>IF(SeilBeregnet=0,FG234,(SeilBeregnet^0.5/Lwl*FG$7)^FG$3)</f>
        <v>0</v>
      </c>
      <c r="FH235" s="136">
        <f>IF(SeilBeregnet=0,FH234,((Loa)/Bredde)^FH$3*FH$7)</f>
        <v>0</v>
      </c>
      <c r="FI235" s="110">
        <f>IF(SeilBeregnet=0,FI234,(Lwl)^FI$3)</f>
        <v>0</v>
      </c>
      <c r="FJ235" s="110" t="str">
        <f>IF(SeilBeregnet=0,"-",FJ$7*(FL:FL+FJ$6)*FO:FO*PropF+ErfaringsF+Dyp_F)</f>
        <v>-</v>
      </c>
      <c r="FK235" s="144" t="str">
        <f t="shared" si="1872"/>
        <v>-</v>
      </c>
      <c r="FL235" s="110">
        <f>(FM:FM*FN:FN)^FL$3</f>
        <v>0</v>
      </c>
      <c r="FM235" s="136">
        <f>IF(SeilBeregnet=0,FM234,(SeilBeregnet^0.5/(Depl^0.3333))^FM$3)</f>
        <v>0</v>
      </c>
      <c r="FN235" s="136">
        <f>IF(SeilBeregnet=0,FN234,(Loa/Bredde)^FN$3)</f>
        <v>0</v>
      </c>
      <c r="FO235" s="110">
        <f>IF(SeilBeregnet=0,FO234,Lwl^FO$3)</f>
        <v>0</v>
      </c>
      <c r="FQ235" s="374">
        <v>1</v>
      </c>
      <c r="FR235" s="64" t="str">
        <f t="shared" si="1853"/>
        <v>-</v>
      </c>
      <c r="FS235" s="479"/>
      <c r="FT235" s="18"/>
      <c r="FU235" s="481"/>
      <c r="FV235" s="504"/>
      <c r="FW235" s="18"/>
      <c r="FX235" s="18"/>
      <c r="FY235" s="18"/>
      <c r="FZ235" s="18"/>
      <c r="GB235" s="18"/>
      <c r="GC235" s="481"/>
      <c r="GD235" s="8"/>
      <c r="GE235" s="8"/>
      <c r="GF235" s="8"/>
      <c r="GG235" s="8"/>
      <c r="GI235" s="18"/>
      <c r="GJ235" s="18"/>
      <c r="GK235" s="18"/>
      <c r="GL235" s="18"/>
      <c r="GM235" s="18"/>
      <c r="GN235" s="18"/>
      <c r="GO235" s="18"/>
      <c r="GP235" s="18"/>
    </row>
    <row r="236" spans="1:198" ht="15.6" x14ac:dyDescent="0.3">
      <c r="A236" s="100" t="s">
        <v>200</v>
      </c>
      <c r="B236" s="100"/>
      <c r="C236" s="100"/>
      <c r="D236" s="100"/>
      <c r="E236" s="100"/>
      <c r="F236" s="100"/>
      <c r="G236" s="100"/>
      <c r="H236" s="210"/>
      <c r="I236" s="210"/>
      <c r="J236" s="210"/>
      <c r="K236" s="210"/>
      <c r="L236" s="210"/>
      <c r="M236" s="210"/>
      <c r="N236" s="267"/>
      <c r="O236" s="210"/>
      <c r="P236" s="210"/>
      <c r="Q236" s="210"/>
      <c r="R236" s="210"/>
      <c r="S236" s="271" t="s">
        <v>140</v>
      </c>
      <c r="T236" s="272"/>
      <c r="U236" s="271"/>
      <c r="V236" s="181">
        <f>StorS-StorS/6</f>
        <v>0</v>
      </c>
      <c r="W236" s="181">
        <f>StorS-StorS/6*1.9</f>
        <v>0</v>
      </c>
      <c r="X236" s="210"/>
      <c r="Y236" s="210"/>
      <c r="Z236" s="210"/>
      <c r="AA236" s="210"/>
      <c r="AB236" s="210"/>
      <c r="AC236" s="210"/>
      <c r="AD236" s="210"/>
      <c r="AE236" s="262"/>
      <c r="AF236" s="210"/>
      <c r="AG236" s="379"/>
      <c r="AH236" s="210"/>
      <c r="AI236" s="379"/>
      <c r="AJ236" s="210"/>
      <c r="AK236" s="10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10"/>
      <c r="BB236" s="210"/>
      <c r="BC236" s="210"/>
      <c r="BD236" s="210"/>
      <c r="BE236" s="210"/>
      <c r="BF236" s="210"/>
      <c r="BG236" s="210"/>
      <c r="BH236" s="210"/>
      <c r="BI236" s="100"/>
      <c r="BJ236" s="100"/>
      <c r="BK236" s="100"/>
      <c r="BL236" s="62"/>
      <c r="BM236" s="100"/>
      <c r="BN236" s="100"/>
      <c r="BO236" s="100"/>
      <c r="BP236" s="100"/>
      <c r="BQ236" s="100"/>
      <c r="BR236" s="100"/>
      <c r="BS236" s="52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5"/>
      <c r="CE236" s="100"/>
      <c r="CF236" s="108"/>
      <c r="CG236" s="106"/>
      <c r="CH236" s="100"/>
      <c r="CI236" s="210"/>
      <c r="CJ236" s="100"/>
      <c r="CK236" s="210"/>
      <c r="CL236" s="210"/>
      <c r="CM236" s="110" t="str">
        <f t="shared" si="1772"/>
        <v>-</v>
      </c>
      <c r="CN236" s="64" t="str">
        <f>IF(SeilBeregnet=0,"-",(SeilBeregnet)^(1/2)*StHfaktor/(Depl+DeplTillegg/1000+Vann/1000+Diesel/1000*0.84)^(1/3))</f>
        <v>-</v>
      </c>
      <c r="CO236" s="64" t="str">
        <f t="shared" si="1759"/>
        <v>-</v>
      </c>
      <c r="CP236" s="64" t="str">
        <f t="shared" si="1760"/>
        <v>-</v>
      </c>
      <c r="CQ236" s="110" t="str">
        <f t="shared" si="1761"/>
        <v>-</v>
      </c>
      <c r="CR236" s="172" t="str">
        <f t="shared" si="1840"/>
        <v>-</v>
      </c>
      <c r="CS236" s="166"/>
      <c r="CT236" s="172" t="str">
        <f t="shared" si="1660"/>
        <v>-</v>
      </c>
      <c r="CU236" s="166"/>
      <c r="CV236" s="195" t="s">
        <v>145</v>
      </c>
      <c r="CW236" s="106"/>
      <c r="CX236" s="106"/>
      <c r="CY236" s="106"/>
      <c r="CZ236" s="100"/>
      <c r="DA236" s="64" t="str">
        <f t="shared" si="1663"/>
        <v>-</v>
      </c>
      <c r="DB236" s="100"/>
      <c r="DC236" s="100"/>
      <c r="DD236" s="62"/>
      <c r="DE236" s="110" t="str">
        <f>IF(SeilBeregnet=0,"-",DE$7*(DG:DG+DE$6)*DL:DL*PropF+ErfaringsF+Dyp_F)</f>
        <v>-</v>
      </c>
      <c r="DF236" s="144" t="str">
        <f t="shared" si="1867"/>
        <v>-</v>
      </c>
      <c r="DG236" s="110" t="e">
        <f t="shared" si="1667"/>
        <v>#REF!</v>
      </c>
      <c r="DH236" s="136" t="e">
        <f>IF(SeilBeregnet=0,#REF!,(SeilBeregnet^0.5/(Depl^0.3333))^DH$3*DH$7)</f>
        <v>#REF!</v>
      </c>
      <c r="DI236" s="136" t="e">
        <f>IF(SeilBeregnet=0,#REF!,(SeilBeregnet^0.5/Lwl)^DI$3*DI$7)</f>
        <v>#REF!</v>
      </c>
      <c r="DJ236" s="136" t="e">
        <f>IF(SeilBeregnet=0,#REF!,(0.1*Loa/Depl^0.3333)^DJ$3*DJ$7)</f>
        <v>#REF!</v>
      </c>
      <c r="DK236" s="136" t="e">
        <f>IF(SeilBeregnet=0,#REF!,((Loa)/Bredde)^DK$3*DK$7)</f>
        <v>#REF!</v>
      </c>
      <c r="DL236" s="110" t="e">
        <f>IF(SeilBeregnet=0,#REF!,(Lwl)^DL$3)</f>
        <v>#REF!</v>
      </c>
      <c r="DM236" s="136" t="e">
        <f>IF(SeilBeregnet=0,#REF!,(Dypg/Loa)^DM$3*5*DM$7)</f>
        <v>#REF!</v>
      </c>
      <c r="DO236" s="110" t="str">
        <f t="shared" si="344"/>
        <v>-</v>
      </c>
      <c r="DP236" s="110" t="str">
        <f t="shared" si="1668"/>
        <v>-</v>
      </c>
      <c r="DQ236" s="126"/>
      <c r="DR236" s="110" t="str">
        <f t="shared" si="1669"/>
        <v>-</v>
      </c>
      <c r="DS236" s="125" t="str">
        <f t="shared" si="1868"/>
        <v>-</v>
      </c>
      <c r="DT236" s="110" t="str">
        <f t="shared" si="1671"/>
        <v>-</v>
      </c>
      <c r="DU236" s="125" t="str">
        <f t="shared" si="1869"/>
        <v>-</v>
      </c>
      <c r="DV236" s="110">
        <f>IF(SeilBeregnet=0,DV227,SeilBeregnet^0.5/Depl^0.33333)</f>
        <v>2.8519960188969775</v>
      </c>
      <c r="DW236" s="110">
        <f>IF(SeilBeregnet=0,DW227,Lwl^0.3333)</f>
        <v>2.6797900088404343</v>
      </c>
      <c r="DX236" s="110">
        <f>IF(SeilBeregnet=0,DX227,((Loa+Lwl)/Bredde)^DX$3)</f>
        <v>1.7695233609798884</v>
      </c>
      <c r="DZ236" s="110" t="str">
        <f t="shared" si="1673"/>
        <v>-</v>
      </c>
      <c r="EB236" s="110">
        <f>IF(SeilBeregnet=0,EB227,SeilBeregnet^0.5/Depl^0.33333)</f>
        <v>2.8519960188969775</v>
      </c>
      <c r="EC236" s="110">
        <f>IF(SeilBeregnet=0,EC227,Lwl^EC$3)</f>
        <v>2.6800277846463949</v>
      </c>
      <c r="ED236" s="110">
        <f>IF(SeilBeregnet=0,ED227,((Loa+Lwl)/Bredde)^ED$3)</f>
        <v>2.1401391899601916</v>
      </c>
      <c r="EE236" s="110" t="str">
        <f t="shared" si="1674"/>
        <v>-</v>
      </c>
      <c r="EG236" s="110">
        <f>IF(SeilBeregnet=0,EG227,(EH236*EI236)^EG$3)</f>
        <v>5.0466735808598413</v>
      </c>
      <c r="EH236" s="110">
        <f>IF(SeilBeregnet=0,EH227,SeilBeregnet^0.5/Depl^0.33333)</f>
        <v>2.8519960188969775</v>
      </c>
      <c r="EI236" s="110">
        <f>IF(SeilBeregnet=0,EI227,((Loa+Lwl)/Bredde)^EI$3)</f>
        <v>1.7695233609798884</v>
      </c>
      <c r="EJ236" s="110">
        <f>IF(SeilBeregnet=0,EJ227,Lwl^EJ$3)</f>
        <v>2.0946317561079946</v>
      </c>
      <c r="EK236" s="110" t="str">
        <f>IF(SeilBeregnet=0,"-",EK$7*(EK$4*EM:EM+EK$6)*EP:EP*PropF+ErfaringsF+Dyp_F)</f>
        <v>-</v>
      </c>
      <c r="EM236" s="110">
        <f>IF(SeilBeregnet=0,EM227,(EN:EN*EO:EO)^EM$3)</f>
        <v>1.7956996641622001</v>
      </c>
      <c r="EN236" s="110">
        <f>IF(SeilBeregnet=0,EN227,SeilBeregnet^0.5/Depl^0.33333)</f>
        <v>2.8519960188969775</v>
      </c>
      <c r="EO236" s="110">
        <f>IF(SeilBeregnet=0,EO227,((Loa+Lwl)/Bredde/6)^EO$3)</f>
        <v>1.1306247493007873</v>
      </c>
      <c r="EP236" s="110">
        <f>IF(SeilBeregnet=0,EP227,(Lwl*0.7+Loa*0.3)^EP$3)</f>
        <v>2.1352975404230423</v>
      </c>
      <c r="EQ236" s="110" t="str">
        <f>IF(SeilBeregnet=0,"-",EQ$7*(ES:ES+EQ$6)*EV:EV*PropF+ErfaringsF+Dyp_F)</f>
        <v>-</v>
      </c>
      <c r="ES236" s="110">
        <f>(ET:ET*EU:EU)^ES$3</f>
        <v>1.7958141031308024</v>
      </c>
      <c r="ET236" s="110">
        <f>IF(SeilBeregnet=0,ET227,SeilBeregnet^0.5/Depl^0.3333)</f>
        <v>2.8523595428084287</v>
      </c>
      <c r="EU236" s="110">
        <f>IF(SeilBeregnet=0,EU227,((Loa+Lwl)/Bredde/6)^EU$3)</f>
        <v>1.1306247493007873</v>
      </c>
      <c r="EV236" s="110">
        <f>IF(SeilBeregnet=0,EV227,(Lwl*0.7+Loa*0.3)^EV$3)</f>
        <v>2.1352975404230423</v>
      </c>
      <c r="EW236" s="110" t="str">
        <f>IF(SeilBeregnet=0,"-",EW$7*(EY:EY+EW$6)*FB:FB*PropF+ErfaringsF+Dyp_F)</f>
        <v>-</v>
      </c>
      <c r="EX236" s="144" t="str">
        <f t="shared" si="1870"/>
        <v>-</v>
      </c>
      <c r="EY236" s="110">
        <f>(EZ:EZ*FA:FA)^EY$3</f>
        <v>3.6462063552850696</v>
      </c>
      <c r="EZ236" s="136">
        <f>IF(SeilBeregnet=0,EZ227,(SeilBeregnet^0.5/(Depl^0.3333))^EZ$3)</f>
        <v>2.8523595428084287</v>
      </c>
      <c r="FA236" s="136">
        <f>IF(SeilBeregnet=0,FA227,((Loa+Lwl)/Bredde/6)^FA$3)</f>
        <v>1.2783123237314677</v>
      </c>
      <c r="FB236" s="110">
        <f>IF(SeilBeregnet=0,FB227,(Lwl*0.07+Loa*0.03)^FB$3)</f>
        <v>1.2007660485571867</v>
      </c>
      <c r="FC236" s="110" t="str">
        <f>IF(SeilBeregnet=0,"-",FC$7*(FE:FE+FC$6)*FI:FI*PropF+ErfaringsF+Dyp_F)</f>
        <v>-</v>
      </c>
      <c r="FD236" s="144" t="str">
        <f t="shared" si="1871"/>
        <v>-</v>
      </c>
      <c r="FE236" s="110">
        <f>(FF:FF+FG:FG+FH:FH)^FE$3+FE$7</f>
        <v>5.3035945248590828</v>
      </c>
      <c r="FF236" s="136">
        <f>IF(SeilBeregnet=0,FF227,(SeilBeregnet^0.5/(Depl^0.3333))^FF$3)</f>
        <v>2.8523595428084287</v>
      </c>
      <c r="FG236" s="136">
        <f>IF(SeilBeregnet=0,FG227,(SeilBeregnet^0.5/Lwl*FG$7)^FG$3)</f>
        <v>0.61058300335043325</v>
      </c>
      <c r="FH236" s="136">
        <f>IF(SeilBeregnet=0,FH227,((Loa)/Bredde)^FH$3*FH$7)</f>
        <v>2.3406519787002207</v>
      </c>
      <c r="FI236" s="110">
        <f>IF(SeilBeregnet=0,FI227,(Lwl)^FI$3)</f>
        <v>2.0946317561079946</v>
      </c>
      <c r="FJ236" s="110" t="str">
        <f>IF(SeilBeregnet=0,"-",FJ$7*(FL:FL+FJ$6)*FO:FO*PropF+ErfaringsF+Dyp_F)</f>
        <v>-</v>
      </c>
      <c r="FK236" s="144" t="str">
        <f t="shared" si="1872"/>
        <v>-</v>
      </c>
      <c r="FL236" s="110">
        <f>(FM:FM*FN:FN)^FL$3</f>
        <v>6.6763810078390051</v>
      </c>
      <c r="FM236" s="136">
        <f>IF(SeilBeregnet=0,FM227,(SeilBeregnet^0.5/(Depl^0.3333))^FM$3)</f>
        <v>2.8523595428084287</v>
      </c>
      <c r="FN236" s="136">
        <f>IF(SeilBeregnet=0,FN227,(Loa/Bredde)^FN$3)</f>
        <v>2.3406519787002207</v>
      </c>
      <c r="FO236" s="110">
        <f>IF(SeilBeregnet=0,FO227,Lwl^FO$3)</f>
        <v>2.0946317561079946</v>
      </c>
      <c r="FQ236" s="374">
        <v>1</v>
      </c>
      <c r="FR236" s="64" t="str">
        <f t="shared" si="1678"/>
        <v>-</v>
      </c>
      <c r="FS236" s="100"/>
      <c r="FT236" s="100"/>
      <c r="FU236" s="483"/>
      <c r="FV236" s="100"/>
      <c r="FW236" s="477"/>
      <c r="FX236" s="477"/>
      <c r="FY236" s="477"/>
      <c r="FZ236" s="477"/>
      <c r="GB236" s="100"/>
      <c r="GC236" s="483"/>
      <c r="GD236" s="100"/>
      <c r="GE236" s="100"/>
      <c r="GF236" s="100"/>
      <c r="GG236" s="100"/>
      <c r="GI236" s="477"/>
      <c r="GJ236" s="477"/>
      <c r="GK236" s="477"/>
      <c r="GL236" s="477"/>
      <c r="GM236" s="477"/>
      <c r="GN236" s="477"/>
      <c r="GO236" s="477"/>
      <c r="GP236" s="477"/>
    </row>
    <row r="237" spans="1:198" ht="17.399999999999999" x14ac:dyDescent="0.3">
      <c r="A237" s="118" t="s">
        <v>257</v>
      </c>
      <c r="B237" s="100"/>
      <c r="C237" s="100"/>
      <c r="D237" s="100"/>
      <c r="E237" s="100"/>
      <c r="F237" s="100"/>
      <c r="G237" s="100"/>
      <c r="H237" s="210"/>
      <c r="I237" s="100"/>
      <c r="J237" s="230"/>
      <c r="K237" s="230"/>
      <c r="L237" s="230"/>
      <c r="M237" s="230"/>
      <c r="N237" s="266"/>
      <c r="O237" s="230"/>
      <c r="P237" s="230"/>
      <c r="Q237" s="230"/>
      <c r="R237" s="230"/>
      <c r="S237" s="271" t="s">
        <v>140</v>
      </c>
      <c r="T237" s="272"/>
      <c r="U237" s="271"/>
      <c r="V237" s="181">
        <f>StorS-StorS/6</f>
        <v>0</v>
      </c>
      <c r="W237" s="181">
        <f>StorS-StorS/6*1.9</f>
        <v>0</v>
      </c>
      <c r="X237" s="230"/>
      <c r="Y237" s="230"/>
      <c r="Z237" s="230"/>
      <c r="AA237" s="230"/>
      <c r="AB237" s="230"/>
      <c r="AC237" s="230"/>
      <c r="AD237" s="230"/>
      <c r="AE237" s="261"/>
      <c r="AF237" s="297"/>
      <c r="AG237" s="379"/>
      <c r="AH237" s="297"/>
      <c r="AI237" s="379"/>
      <c r="AJ237" s="297"/>
      <c r="AK237" s="100"/>
      <c r="AL237" s="230"/>
      <c r="AM237" s="230"/>
      <c r="AN237" s="230"/>
      <c r="AO237" s="230"/>
      <c r="AP237" s="230"/>
      <c r="AQ237" s="230"/>
      <c r="AR237" s="230"/>
      <c r="AS237" s="230"/>
      <c r="AT237" s="230"/>
      <c r="AU237" s="230"/>
      <c r="AV237" s="230"/>
      <c r="AW237" s="230"/>
      <c r="AX237" s="230"/>
      <c r="AY237" s="230"/>
      <c r="AZ237" s="230"/>
      <c r="BA237" s="230"/>
      <c r="BB237" s="230"/>
      <c r="BC237" s="230"/>
      <c r="BD237" s="230"/>
      <c r="BE237" s="230"/>
      <c r="BF237" s="230"/>
      <c r="BG237" s="297"/>
      <c r="BH237" s="297"/>
      <c r="BI237" s="100"/>
      <c r="BJ237" s="100"/>
      <c r="BK237" s="100"/>
      <c r="BL237" s="62"/>
      <c r="BM237" s="100"/>
      <c r="BN237" s="100"/>
      <c r="BO237" s="100"/>
      <c r="BP237" s="100"/>
      <c r="BQ237" s="100"/>
      <c r="BR237" s="100"/>
      <c r="BS237" s="52"/>
      <c r="BT237" s="100"/>
      <c r="BU237" s="100"/>
      <c r="BV237" s="100"/>
      <c r="BW237" s="100"/>
      <c r="BX237" s="100"/>
      <c r="BY237" s="100"/>
      <c r="BZ237" s="100"/>
      <c r="CA237" s="100"/>
      <c r="CB237" s="100"/>
      <c r="CC237" s="100"/>
      <c r="CD237" s="105"/>
      <c r="CE237" s="100"/>
      <c r="CF237" s="108"/>
      <c r="CG237" s="106"/>
      <c r="CH237" s="100"/>
      <c r="CI237" s="230"/>
      <c r="CJ237" s="100"/>
      <c r="CK237" s="210"/>
      <c r="CL237" s="210"/>
      <c r="CM237" s="110" t="str">
        <f t="shared" si="1772"/>
        <v>-</v>
      </c>
      <c r="CN237" s="64" t="str">
        <f>IF(SeilBeregnet=0,"-",(SeilBeregnet)^(1/2)*StHfaktor/(Depl+DeplTillegg/1000+Vann/1000+Diesel/1000*0.84)^(1/3))</f>
        <v>-</v>
      </c>
      <c r="CO237" s="64" t="str">
        <f t="shared" si="1759"/>
        <v>-</v>
      </c>
      <c r="CP237" s="64" t="str">
        <f t="shared" si="1760"/>
        <v>-</v>
      </c>
      <c r="CQ237" s="110" t="str">
        <f t="shared" si="1761"/>
        <v>-</v>
      </c>
      <c r="CR237" s="172" t="str">
        <f t="shared" si="1840"/>
        <v>-</v>
      </c>
      <c r="CS237" s="166"/>
      <c r="CT237" s="172" t="str">
        <f t="shared" ref="CT237:CT257" si="1895">IF(CU237=0,"-",IF(CL237="TBF","-",CT$7*CU237))</f>
        <v>-</v>
      </c>
      <c r="CU237" s="166"/>
      <c r="CV237" s="195" t="s">
        <v>145</v>
      </c>
      <c r="CW237" s="106"/>
      <c r="CX237" s="106"/>
      <c r="CY237" s="106"/>
      <c r="CZ237" s="100"/>
      <c r="DA237" s="64" t="str">
        <f t="shared" si="1663"/>
        <v>-</v>
      </c>
      <c r="DB237" s="100"/>
      <c r="DC237" s="100"/>
      <c r="DD237" s="62"/>
      <c r="DE237" s="110" t="str">
        <f>IF(SeilBeregnet=0,"-",DE$7*(DG:DG+DE$6)*DL:DL*PropF+ErfaringsF+Dyp_F)</f>
        <v>-</v>
      </c>
      <c r="DF237" s="144" t="str">
        <f t="shared" ref="DF237" si="1896">IF($DQ237=0,"-",(DE237-$DO237)*100)</f>
        <v>-</v>
      </c>
      <c r="DG237" s="110">
        <f t="shared" si="1667"/>
        <v>4.7923246149181065</v>
      </c>
      <c r="DH237" s="136">
        <f>IF(SeilBeregnet=0,DH271,(SeilBeregnet^0.5/(Depl^0.3333))^DH$3*DH$7)</f>
        <v>2.6204634011027599</v>
      </c>
      <c r="DI237" s="136">
        <f>IF(SeilBeregnet=0,DI271,(SeilBeregnet^0.5/Lwl)^DI$3*DI$7)</f>
        <v>0</v>
      </c>
      <c r="DJ237" s="136">
        <f>IF(SeilBeregnet=0,DJ271,(0.1*Loa/Depl^0.3333)^DJ$3*DJ$7)</f>
        <v>0</v>
      </c>
      <c r="DK237" s="136">
        <f>IF(SeilBeregnet=0,DK271,((Loa)/Bredde)^DK$3*DK$7)</f>
        <v>2.171861213815347</v>
      </c>
      <c r="DL237" s="110">
        <f>IF(SeilBeregnet=0,DL271,(Lwl)^DL$3)</f>
        <v>2.0739244522212745</v>
      </c>
      <c r="DM237" s="136">
        <f>IF(SeilBeregnet=0,DM271,(Dypg/Loa)^DM$3*5*DM$7)</f>
        <v>1.8574175621006712</v>
      </c>
      <c r="DO237" s="110" t="str">
        <f t="shared" si="733"/>
        <v>-</v>
      </c>
      <c r="DP237" s="110" t="str">
        <f t="shared" si="1668"/>
        <v>-</v>
      </c>
      <c r="DQ237" s="126"/>
      <c r="DR237" s="110" t="str">
        <f t="shared" si="1669"/>
        <v>-</v>
      </c>
      <c r="DS237" s="125" t="str">
        <f t="shared" ref="DS237" si="1897">IF($DQ237=0,"-",DR237-$DO237)</f>
        <v>-</v>
      </c>
      <c r="DT237" s="110" t="str">
        <f t="shared" si="1671"/>
        <v>-</v>
      </c>
      <c r="DU237" s="125" t="str">
        <f t="shared" ref="DU237" si="1898">IF($DQ237=0,"-",DT237-$DO237)</f>
        <v>-</v>
      </c>
      <c r="DV237" s="110">
        <f>IF(SeilBeregnet=0,DV271,SeilBeregnet^0.5/Depl^0.33333)</f>
        <v>2.620129431597483</v>
      </c>
      <c r="DW237" s="110">
        <f>IF(SeilBeregnet=0,DW271,Lwl^0.3333)</f>
        <v>2.6445290195265336</v>
      </c>
      <c r="DX237" s="110">
        <f>IF(SeilBeregnet=0,DX271,((Loa+Lwl)/Bredde)^DX$3)</f>
        <v>1.6925961427894936</v>
      </c>
      <c r="DZ237" s="110" t="str">
        <f t="shared" si="1673"/>
        <v>-</v>
      </c>
      <c r="EB237" s="110">
        <f>IF(SeilBeregnet=0,EB271,SeilBeregnet^0.5/Depl^0.33333)</f>
        <v>2.620129431597483</v>
      </c>
      <c r="EC237" s="110">
        <f>IF(SeilBeregnet=0,EC271,Lwl^EC$3)</f>
        <v>2.6447605135392824</v>
      </c>
      <c r="ED237" s="110">
        <f>IF(SeilBeregnet=0,ED271,((Loa+Lwl)/Bredde)^ED$3)</f>
        <v>2.017006612549411</v>
      </c>
      <c r="EE237" s="110" t="str">
        <f t="shared" si="1674"/>
        <v>-</v>
      </c>
      <c r="EG237" s="110">
        <f>IF(SeilBeregnet=0,EG271,(EH237*EI237)^EG$3)</f>
        <v>4.4348209695311276</v>
      </c>
      <c r="EH237" s="110">
        <f>IF(SeilBeregnet=0,EH271,SeilBeregnet^0.5/Depl^0.33333)</f>
        <v>2.620129431597483</v>
      </c>
      <c r="EI237" s="110">
        <f>IF(SeilBeregnet=0,EI271,((Loa+Lwl)/Bredde)^EI$3)</f>
        <v>1.6925961427894936</v>
      </c>
      <c r="EJ237" s="110">
        <f>IF(SeilBeregnet=0,EJ271,Lwl^EJ$3)</f>
        <v>2.0739244522212745</v>
      </c>
      <c r="EK237" s="110" t="str">
        <f>IF(SeilBeregnet=0,"-",EK$7*(EK$4*EM:EM+EK$6)*EP:EP*PropF+ErfaringsF+Dyp_F)</f>
        <v>-</v>
      </c>
      <c r="EM237" s="110">
        <f>IF(SeilBeregnet=0,EM271,(EN:EN*EO:EO)^EM$3)</f>
        <v>1.6833295212312658</v>
      </c>
      <c r="EN237" s="110">
        <f>IF(SeilBeregnet=0,EN271,SeilBeregnet^0.5/Depl^0.33333)</f>
        <v>2.620129431597483</v>
      </c>
      <c r="EO237" s="110">
        <f>IF(SeilBeregnet=0,EO271,((Loa+Lwl)/Bredde/6)^EO$3)</f>
        <v>1.081472633709186</v>
      </c>
      <c r="EP237" s="110">
        <f>IF(SeilBeregnet=0,EP271,(Lwl*0.7+Loa*0.3)^EP$3)</f>
        <v>2.1265388832179877</v>
      </c>
      <c r="EQ237" s="110" t="str">
        <f>IF(SeilBeregnet=0,"-",EQ$7*(ES:ES+EQ$6)*EV:EV*PropF+ErfaringsF+Dyp_F)</f>
        <v>-</v>
      </c>
      <c r="ES237" s="110">
        <f>(ET:ET*EU:EU)^ES$3</f>
        <v>1.6834367989114212</v>
      </c>
      <c r="ET237" s="110">
        <f>IF(SeilBeregnet=0,ET271,SeilBeregnet^0.5/Depl^0.3333)</f>
        <v>2.6204634011027599</v>
      </c>
      <c r="EU237" s="110">
        <f>IF(SeilBeregnet=0,EU271,((Loa+Lwl)/Bredde/6)^EU$3)</f>
        <v>1.081472633709186</v>
      </c>
      <c r="EV237" s="110">
        <f>IF(SeilBeregnet=0,EV271,(Lwl*0.7+Loa*0.3)^EV$3)</f>
        <v>2.1265388832179877</v>
      </c>
      <c r="EW237" s="110" t="str">
        <f>IF(SeilBeregnet=0,"-",EW$7*(EY:EY+EW$6)*FB:FB*PropF+ErfaringsF+Dyp_F)</f>
        <v>-</v>
      </c>
      <c r="EX237" s="144" t="str">
        <f t="shared" ref="EX237" si="1899">IF($DQ237=0,"-",(EW237-$DO237)*100)</f>
        <v>-</v>
      </c>
      <c r="EY237" s="110">
        <f>(EZ:EZ*FA:FA)^EY$3</f>
        <v>3.0648495966287315</v>
      </c>
      <c r="EZ237" s="136">
        <f>IF(SeilBeregnet=0,EZ271,(SeilBeregnet^0.5/(Depl^0.3333))^EZ$3)</f>
        <v>2.6204634011027599</v>
      </c>
      <c r="FA237" s="136">
        <f>IF(SeilBeregnet=0,FA271,((Loa+Lwl)/Bredde/6)^FA$3)</f>
        <v>1.1695830574618833</v>
      </c>
      <c r="FB237" s="110">
        <f>IF(SeilBeregnet=0,FB271,(Lwl*0.07+Loa*0.03)^FB$3)</f>
        <v>1.195840693657608</v>
      </c>
      <c r="FC237" s="110" t="str">
        <f>IF(SeilBeregnet=0,"-",FC$7*(FE:FE+FC$6)*FI:FI*PropF+ErfaringsF+Dyp_F)</f>
        <v>-</v>
      </c>
      <c r="FD237" s="144" t="str">
        <f t="shared" ref="FD237" si="1900">IF($DQ237=0,"-",(FC237-$DO237)*100)</f>
        <v>-</v>
      </c>
      <c r="FE237" s="110">
        <f>(FF:FF+FG:FG+FH:FH)^FE$3+FE$7</f>
        <v>4.8760082900183486</v>
      </c>
      <c r="FF237" s="136">
        <f>IF(SeilBeregnet=0,FF271,(SeilBeregnet^0.5/(Depl^0.3333))^FF$3)</f>
        <v>2.6204634011027599</v>
      </c>
      <c r="FG237" s="136">
        <f>IF(SeilBeregnet=0,FG271,(SeilBeregnet^0.5/Lwl*FG$7)^FG$3)</f>
        <v>0.58368367510024166</v>
      </c>
      <c r="FH237" s="136">
        <f>IF(SeilBeregnet=0,FH271,((Loa)/Bredde)^FH$3*FH$7)</f>
        <v>2.171861213815347</v>
      </c>
      <c r="FI237" s="110">
        <f>IF(SeilBeregnet=0,FI271,(Lwl)^FI$3)</f>
        <v>2.0739244522212745</v>
      </c>
      <c r="FJ237" s="110" t="str">
        <f>IF(SeilBeregnet=0,"-",FJ$7*(FL:FL+FJ$6)*FO:FO*PropF+ErfaringsF+Dyp_F)</f>
        <v>-</v>
      </c>
      <c r="FK237" s="144" t="str">
        <f t="shared" ref="FK237" si="1901">IF($DQ237=0,"-",(FJ237-$DO237)*100)</f>
        <v>-</v>
      </c>
      <c r="FL237" s="110">
        <f>(FM:FM*FN:FN)^FL$3</f>
        <v>5.6912828230777324</v>
      </c>
      <c r="FM237" s="136">
        <f>IF(SeilBeregnet=0,FM271,(SeilBeregnet^0.5/(Depl^0.3333))^FM$3)</f>
        <v>2.6204634011027599</v>
      </c>
      <c r="FN237" s="136">
        <f>IF(SeilBeregnet=0,FN271,(Loa/Bredde)^FN$3)</f>
        <v>2.171861213815347</v>
      </c>
      <c r="FO237" s="110">
        <f>IF(SeilBeregnet=0,FO271,Lwl^FO$3)</f>
        <v>2.0739244522212745</v>
      </c>
      <c r="FQ237" s="374">
        <v>1</v>
      </c>
      <c r="FR237" s="64" t="str">
        <f t="shared" ref="FR237:FR262" si="1902">IF(SeilBeregnet=0,"-",0.06*2.43^(1/2)*(SeilBeregnet^(1/2)/Depl^(1/3)+(Loa/Bredde)^(1/2)+5*(Dypg/Loa)^(1/2))*Lwl^(1/4)*FQ237)</f>
        <v>-</v>
      </c>
      <c r="FS237" s="100"/>
      <c r="FT237" s="100"/>
      <c r="FU237" s="483"/>
      <c r="FV237" s="100"/>
      <c r="FW237" s="477"/>
      <c r="FX237" s="477"/>
      <c r="FY237" s="477"/>
      <c r="FZ237" s="477"/>
      <c r="GB237" s="100"/>
      <c r="GC237" s="483"/>
      <c r="GD237" s="100"/>
      <c r="GE237" s="100"/>
      <c r="GF237" s="100"/>
      <c r="GG237" s="100"/>
      <c r="GI237" s="477"/>
      <c r="GJ237" s="477"/>
      <c r="GK237" s="477"/>
      <c r="GL237" s="477"/>
      <c r="GM237" s="477"/>
      <c r="GN237" s="477"/>
      <c r="GO237" s="477"/>
      <c r="GP237" s="477"/>
    </row>
    <row r="238" spans="1:198" ht="15.6" x14ac:dyDescent="0.3">
      <c r="A238" s="54" t="s">
        <v>258</v>
      </c>
      <c r="B238" s="223">
        <f t="shared" si="199"/>
        <v>25.065616797900262</v>
      </c>
      <c r="C238" s="55" t="s">
        <v>41</v>
      </c>
      <c r="D238" s="55"/>
      <c r="E238" s="55"/>
      <c r="F238" s="55"/>
      <c r="G238" s="56"/>
      <c r="H238" s="209"/>
      <c r="I238" s="126" t="str">
        <f>A238</f>
        <v>FAIR PLAY, folkebåt</v>
      </c>
      <c r="J238" s="229"/>
      <c r="K238" s="119"/>
      <c r="L238" s="119"/>
      <c r="M238" s="95"/>
      <c r="N238" s="265"/>
      <c r="O238" s="169"/>
      <c r="P238" s="169"/>
      <c r="Q238" s="169"/>
      <c r="R238" s="169"/>
      <c r="S238" s="169"/>
      <c r="T238" s="169">
        <v>7</v>
      </c>
      <c r="U238" s="169"/>
      <c r="V238" s="169"/>
      <c r="W238" s="169"/>
      <c r="X238" s="169"/>
      <c r="Y238" s="169"/>
      <c r="Z238" s="169"/>
      <c r="AA238" s="169"/>
      <c r="AB238" s="169">
        <v>17</v>
      </c>
      <c r="AC238" s="169"/>
      <c r="AD238" s="169"/>
      <c r="AE238" s="270">
        <v>9.02</v>
      </c>
      <c r="AF238" s="296"/>
      <c r="AG238" s="377"/>
      <c r="AH238" s="296"/>
      <c r="AI238" s="377"/>
      <c r="AJ238" s="296" t="s">
        <v>248</v>
      </c>
      <c r="AK238" s="47">
        <f>VLOOKUP(AJ238,Skrogform!$1:$1048576,3,FALSE)</f>
        <v>0.99</v>
      </c>
      <c r="AL238" s="57">
        <v>7.64</v>
      </c>
      <c r="AM238" s="57">
        <v>6</v>
      </c>
      <c r="AN238" s="57">
        <v>2.2000000000000002</v>
      </c>
      <c r="AO238" s="57">
        <v>1.2</v>
      </c>
      <c r="AP238" s="57">
        <v>1.93</v>
      </c>
      <c r="AQ238" s="57">
        <v>1.0249999999999999</v>
      </c>
      <c r="AR238" s="57"/>
      <c r="AS238" s="281"/>
      <c r="AT238" s="281">
        <v>40</v>
      </c>
      <c r="AU238" s="281">
        <f>ROUND(Depl*10,-2)</f>
        <v>0</v>
      </c>
      <c r="AV238" s="281">
        <f>ROUND(Depl*10,-2)</f>
        <v>0</v>
      </c>
      <c r="AW238" s="270">
        <f>Depl+Diesel/1000+Vann/1000</f>
        <v>1.93</v>
      </c>
      <c r="AX238" s="281"/>
      <c r="AY238" s="98">
        <f>Bredde/(Loa+Lwl)*2</f>
        <v>0.32258064516129031</v>
      </c>
      <c r="AZ238" s="98">
        <f>(Kjøl+Ballast)/Depl</f>
        <v>0.5310880829015544</v>
      </c>
      <c r="BA238" s="288">
        <f>BA$7*((Depl-Kjøl-Ballast-VektMotor/1000-VektAnnet/1000)/Loa/Lwl/Bredde)</f>
        <v>0.37112048826481658</v>
      </c>
      <c r="BB238" s="98">
        <f>BB$7*(Depl/Loa/Lwl/Lwl)</f>
        <v>0.52692597655554363</v>
      </c>
      <c r="BC238" s="178">
        <f>BC$7*(Depl/Loa/Lwl/Bredde)</f>
        <v>0.53119073370066727</v>
      </c>
      <c r="BD238" s="98">
        <f>BD$7*Bredde/(Loa+Lwl)*2</f>
        <v>0.92022199098161639</v>
      </c>
      <c r="BE238" s="98">
        <f>BE$7*(Dypg/Lwl)</f>
        <v>1.0939130434782607</v>
      </c>
      <c r="BF238" s="58"/>
      <c r="BG238" s="296"/>
      <c r="BH238" s="296"/>
      <c r="BI238" s="47">
        <f t="shared" ref="BI238:BI271" si="1903">IF((BF238="Fast"),(1.006248-(0.06415*((BH238/100*SQRT(BG238))/POWER(AP238,(1/3))))),1)</f>
        <v>1</v>
      </c>
      <c r="BJ238" s="61">
        <v>0</v>
      </c>
      <c r="BK238" s="61"/>
      <c r="BM238" s="214"/>
      <c r="BN238" s="214" t="str">
        <f>$A238</f>
        <v>FAIR PLAY, folkebåt</v>
      </c>
      <c r="BO238" s="10"/>
      <c r="BP238" s="10"/>
      <c r="BQ238" s="10"/>
      <c r="BR238" s="10"/>
      <c r="BS238" s="52"/>
      <c r="BT238" s="214" t="str">
        <f>$A238</f>
        <v>FAIR PLAY, folkebåt</v>
      </c>
      <c r="BU238" s="10"/>
      <c r="BV238" s="10"/>
      <c r="BW238" s="10"/>
      <c r="BX238" s="10"/>
      <c r="BY238" s="10"/>
      <c r="BZ238" s="10"/>
      <c r="CA238" s="10"/>
      <c r="CB238" s="10"/>
      <c r="CC238" s="10"/>
      <c r="CD238" s="214"/>
      <c r="CE238" s="10"/>
      <c r="CF238" s="214" t="str">
        <f>$A238</f>
        <v>FAIR PLAY, folkebåt</v>
      </c>
      <c r="CG238" s="212"/>
      <c r="CH238" s="212"/>
      <c r="CI238" s="119"/>
      <c r="CJ238" s="212"/>
      <c r="CK238" s="208"/>
      <c r="CL238" s="208" t="s">
        <v>26</v>
      </c>
      <c r="CM238" s="110" t="str">
        <f t="shared" si="1772"/>
        <v>-</v>
      </c>
      <c r="CN238" s="64" t="str">
        <f>IF(SeilBeregnet=0,"-",(SeilBeregnet)^(1/2)*StHfaktor/(Depl+DeplTillegg/1000+Vann/1000+Diesel/1000*0.84)^(1/3))</f>
        <v>-</v>
      </c>
      <c r="CO238" s="64" t="str">
        <f t="shared" si="1759"/>
        <v>-</v>
      </c>
      <c r="CP238" s="64" t="str">
        <f t="shared" si="1760"/>
        <v>-</v>
      </c>
      <c r="CQ238" s="110" t="str">
        <f t="shared" si="1761"/>
        <v>-</v>
      </c>
      <c r="CR238" s="172" t="str">
        <f t="shared" si="1840"/>
        <v>-</v>
      </c>
      <c r="CS238" s="162"/>
      <c r="CT238" s="172" t="str">
        <f t="shared" si="1895"/>
        <v>-</v>
      </c>
      <c r="CU238" s="164">
        <v>1.17</v>
      </c>
      <c r="CV238" s="195" t="s">
        <v>145</v>
      </c>
      <c r="CW238" s="30" t="s">
        <v>26</v>
      </c>
      <c r="CX238" s="30" t="s">
        <v>26</v>
      </c>
      <c r="CY238" s="30" t="s">
        <v>26</v>
      </c>
      <c r="CZ238" s="153">
        <v>2022</v>
      </c>
      <c r="DA238" s="64" t="str">
        <f t="shared" si="1663"/>
        <v>-</v>
      </c>
      <c r="DB238" s="49">
        <f t="shared" ref="DB238:DB271" si="1904">(Dypg/(Lwl+Bredde+DB$8)*100)</f>
        <v>13.043478260869565</v>
      </c>
      <c r="DC238" s="50">
        <f t="shared" ref="DC238:DC265" si="1905">DB$7*IF(DB238&lt;DB$5,-0.04,IF(DB238&lt;DB$5*1.1,-0.03,IF(DB238&lt;DB$5*1.2,-0.02,IF(DB238&lt;DB$5*1.3,-0.01,0))))</f>
        <v>0</v>
      </c>
      <c r="DE238" s="110" t="str">
        <f>IF(SeilBeregnet=0,"-",DE$7*(DG:DG+DE$6)*DL:DL*PropF+ErfaringsF+Dyp_F)</f>
        <v>-</v>
      </c>
      <c r="DF238" s="144" t="str">
        <f t="shared" ref="DF238:DF248" si="1906">IF($DQ238=0,"-",(DE238-$DO238)*100)</f>
        <v>-</v>
      </c>
      <c r="DG238" s="110" t="e">
        <f t="shared" si="1667"/>
        <v>#REF!</v>
      </c>
      <c r="DH238" s="136" t="e">
        <f>IF(SeilBeregnet=0,#REF!,(SeilBeregnet^0.5/(Depl^0.3333))^DH$3*DH$7)</f>
        <v>#REF!</v>
      </c>
      <c r="DI238" s="136" t="e">
        <f>IF(SeilBeregnet=0,#REF!,(SeilBeregnet^0.5/Lwl)^DI$3*DI$7)</f>
        <v>#REF!</v>
      </c>
      <c r="DJ238" s="136" t="e">
        <f>IF(SeilBeregnet=0,#REF!,(0.1*Loa/Depl^0.3333)^DJ$3*DJ$7)</f>
        <v>#REF!</v>
      </c>
      <c r="DK238" s="136" t="e">
        <f>IF(SeilBeregnet=0,#REF!,((Loa)/Bredde)^DK$3*DK$7)</f>
        <v>#REF!</v>
      </c>
      <c r="DL238" s="110" t="e">
        <f>IF(SeilBeregnet=0,#REF!,(Lwl)^DL$3)</f>
        <v>#REF!</v>
      </c>
      <c r="DM238" s="136" t="e">
        <f>IF(SeilBeregnet=0,#REF!,(Dypg/Loa)^DM$3*5*DM$7)</f>
        <v>#REF!</v>
      </c>
      <c r="DO238" s="110" t="str">
        <f t="shared" si="669"/>
        <v>-</v>
      </c>
      <c r="DP238" s="110" t="str">
        <f t="shared" si="1668"/>
        <v>-</v>
      </c>
      <c r="DR238" s="110" t="str">
        <f t="shared" si="1669"/>
        <v>-</v>
      </c>
      <c r="DS238" s="125" t="str">
        <f t="shared" ref="DS238:DS248" si="1907">IF($DQ238=0,"-",DR238-$DO238)</f>
        <v>-</v>
      </c>
      <c r="DT238" s="110" t="str">
        <f t="shared" si="1671"/>
        <v>-</v>
      </c>
      <c r="DU238" s="125" t="str">
        <f t="shared" ref="DU238:DU248" si="1908">IF($DQ238=0,"-",DT238-$DO238)</f>
        <v>-</v>
      </c>
      <c r="DV238" s="110" t="e">
        <f>IF(SeilBeregnet=0,#REF!,SeilBeregnet^0.5/Depl^0.33333)</f>
        <v>#REF!</v>
      </c>
      <c r="DW238" s="110" t="e">
        <f>IF(SeilBeregnet=0,#REF!,Lwl^0.3333)</f>
        <v>#REF!</v>
      </c>
      <c r="DX238" s="110" t="e">
        <f>IF(SeilBeregnet=0,#REF!,((Loa+Lwl)/Bredde)^DX$3)</f>
        <v>#REF!</v>
      </c>
      <c r="DZ238" s="110" t="str">
        <f t="shared" si="1673"/>
        <v>-</v>
      </c>
      <c r="EB238" s="110" t="e">
        <f>IF(SeilBeregnet=0,#REF!,SeilBeregnet^0.5/Depl^0.33333)</f>
        <v>#REF!</v>
      </c>
      <c r="EC238" s="110" t="e">
        <f>IF(SeilBeregnet=0,#REF!,Lwl^EC$3)</f>
        <v>#REF!</v>
      </c>
      <c r="ED238" s="110" t="e">
        <f>IF(SeilBeregnet=0,#REF!,((Loa+Lwl)/Bredde)^ED$3)</f>
        <v>#REF!</v>
      </c>
      <c r="EE238" s="110" t="str">
        <f t="shared" si="1674"/>
        <v>-</v>
      </c>
      <c r="EG238" s="110" t="e">
        <f>IF(SeilBeregnet=0,#REF!,(EH238*EI238)^EG$3)</f>
        <v>#REF!</v>
      </c>
      <c r="EH238" s="110" t="e">
        <f>IF(SeilBeregnet=0,#REF!,SeilBeregnet^0.5/Depl^0.33333)</f>
        <v>#REF!</v>
      </c>
      <c r="EI238" s="110" t="e">
        <f>IF(SeilBeregnet=0,#REF!,((Loa+Lwl)/Bredde)^EI$3)</f>
        <v>#REF!</v>
      </c>
      <c r="EJ238" s="110" t="e">
        <f>IF(SeilBeregnet=0,#REF!,Lwl^EJ$3)</f>
        <v>#REF!</v>
      </c>
      <c r="EK238" s="110" t="str">
        <f>IF(SeilBeregnet=0,"-",EK$7*(EK$4*EM:EM+EK$6)*EP:EP*PropF+ErfaringsF+Dyp_F)</f>
        <v>-</v>
      </c>
      <c r="EM238" s="110" t="e">
        <f>IF(SeilBeregnet=0,#REF!,(EN:EN*EO:EO)^EM$3)</f>
        <v>#REF!</v>
      </c>
      <c r="EN238" s="110" t="e">
        <f>IF(SeilBeregnet=0,#REF!,SeilBeregnet^0.5/Depl^0.33333)</f>
        <v>#REF!</v>
      </c>
      <c r="EO238" s="110" t="e">
        <f>IF(SeilBeregnet=0,#REF!,((Loa+Lwl)/Bredde/6)^EO$3)</f>
        <v>#REF!</v>
      </c>
      <c r="EP238" s="110" t="e">
        <f>IF(SeilBeregnet=0,#REF!,(Lwl*0.7+Loa*0.3)^EP$3)</f>
        <v>#REF!</v>
      </c>
      <c r="EQ238" s="110" t="str">
        <f>IF(SeilBeregnet=0,"-",EQ$7*(ES:ES+EQ$6)*EV:EV*PropF+ErfaringsF+Dyp_F)</f>
        <v>-</v>
      </c>
      <c r="ES238" s="110" t="e">
        <f>(ET:ET*EU:EU)^ES$3</f>
        <v>#REF!</v>
      </c>
      <c r="ET238" s="110" t="e">
        <f>IF(SeilBeregnet=0,#REF!,SeilBeregnet^0.5/Depl^0.3333)</f>
        <v>#REF!</v>
      </c>
      <c r="EU238" s="110" t="e">
        <f>IF(SeilBeregnet=0,#REF!,((Loa+Lwl)/Bredde/6)^EU$3)</f>
        <v>#REF!</v>
      </c>
      <c r="EV238" s="110" t="e">
        <f>IF(SeilBeregnet=0,#REF!,(Lwl*0.7+Loa*0.3)^EV$3)</f>
        <v>#REF!</v>
      </c>
      <c r="EW238" s="110" t="str">
        <f>IF(SeilBeregnet=0,"-",EW$7*(EY:EY+EW$6)*FB:FB*PropF+ErfaringsF+Dyp_F)</f>
        <v>-</v>
      </c>
      <c r="EX238" s="144" t="str">
        <f t="shared" ref="EX238:EX248" si="1909">IF($DQ238=0,"-",(EW238-$DO238)*100)</f>
        <v>-</v>
      </c>
      <c r="EY238" s="110" t="e">
        <f>(EZ:EZ*FA:FA)^EY$3</f>
        <v>#REF!</v>
      </c>
      <c r="EZ238" s="136" t="e">
        <f>IF(SeilBeregnet=0,#REF!,(SeilBeregnet^0.5/(Depl^0.3333))^EZ$3)</f>
        <v>#REF!</v>
      </c>
      <c r="FA238" s="136" t="e">
        <f>IF(SeilBeregnet=0,#REF!,((Loa+Lwl)/Bredde/6)^FA$3)</f>
        <v>#REF!</v>
      </c>
      <c r="FB238" s="110" t="e">
        <f>IF(SeilBeregnet=0,#REF!,(Lwl*0.07+Loa*0.03)^FB$3)</f>
        <v>#REF!</v>
      </c>
      <c r="FC238" s="110" t="str">
        <f>IF(SeilBeregnet=0,"-",FC$7*(FE:FE+FC$6)*FI:FI*PropF+ErfaringsF+Dyp_F)</f>
        <v>-</v>
      </c>
      <c r="FD238" s="144" t="str">
        <f t="shared" ref="FD238:FD248" si="1910">IF($DQ238=0,"-",(FC238-$DO238)*100)</f>
        <v>-</v>
      </c>
      <c r="FE238" s="110" t="e">
        <f>(FF:FF+FG:FG+FH:FH)^FE$3+FE$7</f>
        <v>#REF!</v>
      </c>
      <c r="FF238" s="136" t="e">
        <f>IF(SeilBeregnet=0,#REF!,(SeilBeregnet^0.5/(Depl^0.3333))^FF$3)</f>
        <v>#REF!</v>
      </c>
      <c r="FG238" s="136" t="e">
        <f>IF(SeilBeregnet=0,#REF!,(SeilBeregnet^0.5/Lwl*FG$7)^FG$3)</f>
        <v>#REF!</v>
      </c>
      <c r="FH238" s="136" t="e">
        <f>IF(SeilBeregnet=0,#REF!,((Loa)/Bredde)^FH$3*FH$7)</f>
        <v>#REF!</v>
      </c>
      <c r="FI238" s="110" t="e">
        <f>IF(SeilBeregnet=0,#REF!,(Lwl)^FI$3)</f>
        <v>#REF!</v>
      </c>
      <c r="FJ238" s="110" t="str">
        <f>IF(SeilBeregnet=0,"-",FJ$7*(FL:FL+FJ$6)*FO:FO*PropF+ErfaringsF+Dyp_F)</f>
        <v>-</v>
      </c>
      <c r="FK238" s="144" t="str">
        <f t="shared" ref="FK238:FK248" si="1911">IF($DQ238=0,"-",(FJ238-$DO238)*100)</f>
        <v>-</v>
      </c>
      <c r="FL238" s="110" t="e">
        <f>(FM:FM*FN:FN)^FL$3</f>
        <v>#REF!</v>
      </c>
      <c r="FM238" s="136" t="e">
        <f>IF(SeilBeregnet=0,#REF!,(SeilBeregnet^0.5/(Depl^0.3333))^FM$3)</f>
        <v>#REF!</v>
      </c>
      <c r="FN238" s="136" t="e">
        <f>IF(SeilBeregnet=0,#REF!,(Loa/Bredde)^FN$3)</f>
        <v>#REF!</v>
      </c>
      <c r="FO238" s="110" t="e">
        <f>IF(SeilBeregnet=0,#REF!,Lwl^FO$3)</f>
        <v>#REF!</v>
      </c>
      <c r="FQ238" s="374">
        <v>1</v>
      </c>
      <c r="FR238" s="64" t="str">
        <f t="shared" si="1902"/>
        <v>-</v>
      </c>
      <c r="FS238" s="480" t="s">
        <v>500</v>
      </c>
      <c r="FT238" s="59"/>
      <c r="FU238" s="475"/>
      <c r="FV238" s="77"/>
      <c r="FW238" s="59"/>
      <c r="FX238" s="59"/>
      <c r="FY238" s="59"/>
      <c r="FZ238" s="59"/>
      <c r="GB238" s="59" t="s">
        <v>522</v>
      </c>
      <c r="GC238" s="475" t="s">
        <v>522</v>
      </c>
      <c r="GD238" s="60" t="s">
        <v>522</v>
      </c>
      <c r="GE238" s="60" t="s">
        <v>522</v>
      </c>
      <c r="GF238" s="60" t="s">
        <v>522</v>
      </c>
      <c r="GG238" s="60" t="s">
        <v>522</v>
      </c>
      <c r="GI238" s="59"/>
      <c r="GJ238" s="59"/>
      <c r="GK238" s="59"/>
      <c r="GL238" s="59"/>
      <c r="GM238" s="59"/>
      <c r="GN238" s="59"/>
      <c r="GO238" s="59"/>
      <c r="GP238" s="59"/>
    </row>
    <row r="239" spans="1:198" ht="15.6" x14ac:dyDescent="0.3">
      <c r="A239" s="62" t="s">
        <v>36</v>
      </c>
      <c r="B239" s="223"/>
      <c r="C239" s="63" t="str">
        <f>C238</f>
        <v>Bermuda</v>
      </c>
      <c r="D239" s="63"/>
      <c r="E239" s="63"/>
      <c r="F239" s="63"/>
      <c r="G239" s="56"/>
      <c r="H239" s="209">
        <f>TBFavrundet</f>
        <v>95</v>
      </c>
      <c r="I239" s="65">
        <f>COUNTA(O239:AD239)</f>
        <v>2</v>
      </c>
      <c r="J239" s="228">
        <f>SUM(O239:AD239)</f>
        <v>24</v>
      </c>
      <c r="K239" s="119">
        <f>Seilareal/Depl^0.667/K$7</f>
        <v>1.4152979498346083</v>
      </c>
      <c r="L239" s="119">
        <f>Seilareal/Lwl/Lwl/L$7</f>
        <v>1.0115461808884627</v>
      </c>
      <c r="M239" s="95">
        <f>RiggF</f>
        <v>1</v>
      </c>
      <c r="N239" s="265">
        <f>StHfaktor</f>
        <v>1.0522814411075829</v>
      </c>
      <c r="O239" s="147"/>
      <c r="P239" s="147"/>
      <c r="Q239" s="147"/>
      <c r="R239" s="147"/>
      <c r="S239" s="147"/>
      <c r="T239" s="169">
        <v>7</v>
      </c>
      <c r="U239" s="148"/>
      <c r="V239" s="148"/>
      <c r="W239" s="148"/>
      <c r="X239" s="148"/>
      <c r="Y239" s="147"/>
      <c r="Z239" s="147"/>
      <c r="AA239" s="147"/>
      <c r="AB239" s="169">
        <v>17</v>
      </c>
      <c r="AC239" s="147"/>
      <c r="AD239" s="148"/>
      <c r="AE239" s="260">
        <f>AE238</f>
        <v>9.02</v>
      </c>
      <c r="AF239" s="375">
        <f t="shared" ref="AF239:AH240" si="1912" xml:space="preserve"> AF238</f>
        <v>0</v>
      </c>
      <c r="AG239" s="377"/>
      <c r="AH239" s="375">
        <f t="shared" si="1912"/>
        <v>0</v>
      </c>
      <c r="AI239" s="377"/>
      <c r="AJ239" s="295" t="str">
        <f xml:space="preserve"> AJ238</f>
        <v>Folk</v>
      </c>
      <c r="AK239" s="47">
        <f>VLOOKUP(AJ239,Skrogform!$1:$1048576,3,FALSE)</f>
        <v>0.99</v>
      </c>
      <c r="AL239" s="66">
        <f t="shared" ref="AL239:AT240" si="1913">AL238</f>
        <v>7.64</v>
      </c>
      <c r="AM239" s="66">
        <f t="shared" si="1913"/>
        <v>6</v>
      </c>
      <c r="AN239" s="66">
        <f t="shared" si="1913"/>
        <v>2.2000000000000002</v>
      </c>
      <c r="AO239" s="66">
        <f t="shared" si="1913"/>
        <v>1.2</v>
      </c>
      <c r="AP239" s="66">
        <f t="shared" si="1913"/>
        <v>1.93</v>
      </c>
      <c r="AQ239" s="66">
        <f t="shared" si="1913"/>
        <v>1.0249999999999999</v>
      </c>
      <c r="AR239" s="66">
        <f t="shared" si="1913"/>
        <v>0</v>
      </c>
      <c r="AS239" s="284">
        <f t="shared" si="1913"/>
        <v>0</v>
      </c>
      <c r="AT239" s="284">
        <f t="shared" si="1913"/>
        <v>40</v>
      </c>
      <c r="AU239" s="284">
        <f t="shared" ref="AU239:AV239" si="1914">AU238</f>
        <v>0</v>
      </c>
      <c r="AV239" s="284">
        <f t="shared" si="1914"/>
        <v>0</v>
      </c>
      <c r="AW239" s="284"/>
      <c r="AX239" s="284">
        <f>AX238</f>
        <v>0</v>
      </c>
      <c r="AY239" s="68"/>
      <c r="AZ239" s="68"/>
      <c r="BA239" s="289"/>
      <c r="BB239" s="68"/>
      <c r="BC239" s="179"/>
      <c r="BD239" s="68"/>
      <c r="BE239" s="68"/>
      <c r="BF239" s="67">
        <f t="shared" ref="BF239:BH240" si="1915" xml:space="preserve"> BF238</f>
        <v>0</v>
      </c>
      <c r="BG239" s="295">
        <f t="shared" si="1915"/>
        <v>0</v>
      </c>
      <c r="BH239" s="295">
        <f t="shared" si="1915"/>
        <v>0</v>
      </c>
      <c r="BI239" s="47">
        <f t="shared" si="1903"/>
        <v>1</v>
      </c>
      <c r="BJ239" s="61">
        <f>BJ238</f>
        <v>0</v>
      </c>
      <c r="BK239" s="61"/>
      <c r="BM239" s="51">
        <f t="shared" ref="BM239:BR240" si="1916">IF(O239=0,0,O239*BM$9)</f>
        <v>0</v>
      </c>
      <c r="BN239" s="51">
        <f t="shared" si="1916"/>
        <v>0</v>
      </c>
      <c r="BO239" s="51">
        <f t="shared" si="1916"/>
        <v>0</v>
      </c>
      <c r="BP239" s="51">
        <f t="shared" si="1916"/>
        <v>0</v>
      </c>
      <c r="BQ239" s="51">
        <f t="shared" si="1916"/>
        <v>0</v>
      </c>
      <c r="BR239" s="51">
        <f t="shared" si="1916"/>
        <v>7</v>
      </c>
      <c r="BS239" s="52">
        <f>IF(COUNT(P239:T239)&gt;1,MINA(P239:T239)*BS$9,0)</f>
        <v>0</v>
      </c>
      <c r="BT239" s="88">
        <f t="shared" ref="BT239:CC240" si="1917">IF(U239=0,0,U239*BT$9)</f>
        <v>0</v>
      </c>
      <c r="BU239" s="88">
        <f t="shared" si="1917"/>
        <v>0</v>
      </c>
      <c r="BV239" s="88">
        <f t="shared" si="1917"/>
        <v>0</v>
      </c>
      <c r="BW239" s="88">
        <f t="shared" si="1917"/>
        <v>0</v>
      </c>
      <c r="BX239" s="88">
        <f t="shared" si="1917"/>
        <v>0</v>
      </c>
      <c r="BY239" s="88">
        <f t="shared" si="1917"/>
        <v>0</v>
      </c>
      <c r="BZ239" s="88">
        <f t="shared" si="1917"/>
        <v>0</v>
      </c>
      <c r="CA239" s="88">
        <f t="shared" si="1917"/>
        <v>17</v>
      </c>
      <c r="CB239" s="88">
        <f t="shared" si="1917"/>
        <v>0</v>
      </c>
      <c r="CC239" s="88">
        <f t="shared" si="1917"/>
        <v>0</v>
      </c>
      <c r="CD239" s="103">
        <f>SUM(BM239:CC239)</f>
        <v>24</v>
      </c>
      <c r="CE239" s="52"/>
      <c r="CF239" s="107">
        <f>J239</f>
        <v>24</v>
      </c>
      <c r="CG239" s="104">
        <f>CD239/CF239</f>
        <v>1</v>
      </c>
      <c r="CH239" s="53">
        <f>Seilareal/Lwl/Lwl</f>
        <v>0.66666666666666663</v>
      </c>
      <c r="CI239" s="119">
        <f>Seilareal/Depl^0.667/K$7</f>
        <v>1.4152979498346083</v>
      </c>
      <c r="CJ239" s="53">
        <f>Seilareal/Lwl/Lwl/SApRS1</f>
        <v>1.0115461808884627</v>
      </c>
      <c r="CK239" s="209"/>
      <c r="CL239" s="209">
        <f>(ROUND(TBF/CL$6,3)*CL$6)*CL$4</f>
        <v>95</v>
      </c>
      <c r="CM239" s="110">
        <f t="shared" si="1772"/>
        <v>0.95168876851995321</v>
      </c>
      <c r="CN239" s="64">
        <f>IF(SeilBeregnet=0,"-",(SeilBeregnet)^(1/2)*StHfaktor/(Depl+DeplTillegg/1000+Vann/1000+Diesel/1000*0.84)^(1/3))</f>
        <v>4.0066154735481518</v>
      </c>
      <c r="CO239" s="64">
        <f t="shared" si="1759"/>
        <v>1.7606816861659009</v>
      </c>
      <c r="CP239" s="64">
        <f t="shared" si="1760"/>
        <v>1.5650845800732873</v>
      </c>
      <c r="CQ239" s="110">
        <f t="shared" si="1761"/>
        <v>1.0522814411075829</v>
      </c>
      <c r="CR239" s="172" t="str">
        <f t="shared" si="1840"/>
        <v>-</v>
      </c>
      <c r="CS239" s="163">
        <f>CS238</f>
        <v>0</v>
      </c>
      <c r="CT239" s="172">
        <f t="shared" si="1895"/>
        <v>0.90315789473684216</v>
      </c>
      <c r="CU239" s="163">
        <f>CU238</f>
        <v>1.17</v>
      </c>
      <c r="CV239" s="195" t="s">
        <v>145</v>
      </c>
      <c r="CW239" s="64">
        <v>0.85</v>
      </c>
      <c r="CX239" s="64">
        <v>0.87</v>
      </c>
      <c r="CY239" s="64">
        <v>0.94</v>
      </c>
      <c r="CZ239" s="156">
        <f>0.94+0.03</f>
        <v>0.97</v>
      </c>
      <c r="DA239" s="64">
        <f t="shared" si="1663"/>
        <v>2.1428939822296749</v>
      </c>
      <c r="DB239" s="49">
        <f t="shared" si="1904"/>
        <v>13.043478260869565</v>
      </c>
      <c r="DC239" s="50">
        <f t="shared" si="1905"/>
        <v>0</v>
      </c>
      <c r="DE239" s="139">
        <f>IF(SeilBeregnet=0,"-",DE$7*(DG:DG+DE$6)*DL:DL*PropF+ErfaringsF+Dyp_F)</f>
        <v>0.91657145793391248</v>
      </c>
      <c r="DF239" s="145">
        <f t="shared" si="1906"/>
        <v>-4.4730328449878565</v>
      </c>
      <c r="DG239" s="110">
        <f t="shared" si="1667"/>
        <v>5.7983862633250078</v>
      </c>
      <c r="DH239" s="136">
        <f t="shared" ref="DH239:DH245" si="1918">IF(SeilBeregnet=0,DH238,(SeilBeregnet^0.5/(Depl^0.3333))^DH$3*DH$7)</f>
        <v>3.9348607677314349</v>
      </c>
      <c r="DI239" s="136">
        <f t="shared" ref="DI239:DI245" si="1919">IF(SeilBeregnet=0,DI238,(SeilBeregnet^0.5/Lwl)^DI$3*DI$7)</f>
        <v>0</v>
      </c>
      <c r="DJ239" s="136">
        <f t="shared" ref="DJ239:DJ245" si="1920">IF(SeilBeregnet=0,DJ238,(0.1*Loa/Depl^0.3333)^DJ$3*DJ$7)</f>
        <v>0</v>
      </c>
      <c r="DK239" s="136">
        <f t="shared" ref="DK239:DK245" si="1921">IF(SeilBeregnet=0,DK238,((Loa)/Bredde)^DK$3*DK$7)</f>
        <v>1.8635254955935732</v>
      </c>
      <c r="DL239" s="110">
        <f t="shared" ref="DL239:DL245" si="1922">IF(SeilBeregnet=0,DL238,(Lwl)^DL$3)</f>
        <v>1.5650845800732873</v>
      </c>
      <c r="DM239" s="136">
        <f t="shared" ref="DM239:DM245" si="1923">IF(SeilBeregnet=0,DM238,(Dypg/Loa)^DM$3*5*DM$7)</f>
        <v>1.9815906667827816</v>
      </c>
      <c r="DO239" s="74">
        <f t="shared" si="669"/>
        <v>0.96130178638379105</v>
      </c>
      <c r="DP239" s="110">
        <f t="shared" si="1668"/>
        <v>0.85672985273594138</v>
      </c>
      <c r="DQ239" s="125">
        <f>DP239-DO239</f>
        <v>-0.10457193364784967</v>
      </c>
      <c r="DR239" s="110">
        <f t="shared" si="1669"/>
        <v>0.86300375442641974</v>
      </c>
      <c r="DS239" s="125">
        <f t="shared" si="1907"/>
        <v>-9.8298031957371301E-2</v>
      </c>
      <c r="DT239" s="110">
        <f t="shared" si="1671"/>
        <v>0.93259176738532801</v>
      </c>
      <c r="DU239" s="125">
        <f t="shared" si="1908"/>
        <v>-2.8710018998463038E-2</v>
      </c>
      <c r="DV239" s="110">
        <f t="shared" ref="DV239:DV245" si="1924">IF(SeilBeregnet=0,DV238,SeilBeregnet^0.5/Depl^0.33333)</f>
        <v>3.9347831510070512</v>
      </c>
      <c r="DW239" s="110">
        <f t="shared" ref="DW239:DW245" si="1925">IF(SeilBeregnet=0,DW238,Lwl^0.3333)</f>
        <v>1.8170120679720481</v>
      </c>
      <c r="DX239" s="110">
        <f t="shared" ref="DX239:DX245" si="1926">IF(SeilBeregnet=0,DX238,((Loa+Lwl)/Bredde)^DX$3)</f>
        <v>1.5779670210741878</v>
      </c>
      <c r="DZ239" s="110">
        <f t="shared" si="1673"/>
        <v>0.93164386658105303</v>
      </c>
      <c r="EB239" s="110">
        <f t="shared" ref="EB239:EB245" si="1927">IF(SeilBeregnet=0,EB238,SeilBeregnet^0.5/Depl^0.33333)</f>
        <v>3.9347831510070512</v>
      </c>
      <c r="EC239" s="110">
        <f t="shared" ref="EC239:EC245" si="1928">IF(SeilBeregnet=0,EC238,Lwl^EC$3)</f>
        <v>1.8171097400544527</v>
      </c>
      <c r="ED239" s="110">
        <f t="shared" ref="ED239:ED245" si="1929">IF(SeilBeregnet=0,ED238,((Loa+Lwl)/Bredde)^ED$3)</f>
        <v>1.8369788246696532</v>
      </c>
      <c r="EE239" s="110">
        <f t="shared" si="1674"/>
        <v>0.92495173157128607</v>
      </c>
      <c r="EG239" s="110">
        <f t="shared" ref="EG239:EG245" si="1930">IF(SeilBeregnet=0,EG238,(EH239*EI239)^EG$3)</f>
        <v>6.2089580473675028</v>
      </c>
      <c r="EH239" s="110">
        <f t="shared" ref="EH239:EH245" si="1931">IF(SeilBeregnet=0,EH238,SeilBeregnet^0.5/Depl^0.33333)</f>
        <v>3.9347831510070512</v>
      </c>
      <c r="EI239" s="110">
        <f t="shared" ref="EI239:EI245" si="1932">IF(SeilBeregnet=0,EI238,((Loa+Lwl)/Bredde)^EI$3)</f>
        <v>1.5779670210741878</v>
      </c>
      <c r="EJ239" s="110">
        <f t="shared" ref="EJ239:EJ245" si="1933">IF(SeilBeregnet=0,EJ238,Lwl^EJ$3)</f>
        <v>1.5650845800732873</v>
      </c>
      <c r="EK239" s="110">
        <f>IF(SeilBeregnet=0,"-",EK$7*(EK$4*EM:EM+EK$6)*EP:EP*PropF+ErfaringsF+Dyp_F)</f>
        <v>0.9245376112190884</v>
      </c>
      <c r="EM239" s="110">
        <f>IF(SeilBeregnet=0,EM238,(EN:EN*EO:EO)^EM$3)</f>
        <v>1.9917758229579621</v>
      </c>
      <c r="EN239" s="110">
        <f t="shared" ref="EN239:EN245" si="1934">IF(SeilBeregnet=0,EN238,SeilBeregnet^0.5/Depl^0.33333)</f>
        <v>3.9347831510070512</v>
      </c>
      <c r="EO239" s="110">
        <f t="shared" ref="EO239:EO245" si="1935">IF(SeilBeregnet=0,EO238,((Loa+Lwl)/Bredde/6)^EO$3)</f>
        <v>1.0082311468433849</v>
      </c>
      <c r="EP239" s="110">
        <f t="shared" ref="EP239:EP245" si="1936">IF(SeilBeregnet=0,EP238,(Lwl*0.7+Loa*0.3)^EP$3)</f>
        <v>1.5962269088918948</v>
      </c>
      <c r="EQ239" s="110">
        <f>IF(SeilBeregnet=0,"-",EQ$7*(ES:ES+EQ$6)*EV:EV*PropF+ErfaringsF+Dyp_F)</f>
        <v>0.86999614905036671</v>
      </c>
      <c r="ES239" s="110">
        <f>(ET:ET*EU:EU)^ES$3</f>
        <v>1.991795467541511</v>
      </c>
      <c r="ET239" s="110">
        <f t="shared" ref="ET239:ET245" si="1937">IF(SeilBeregnet=0,ET238,SeilBeregnet^0.5/Depl^0.3333)</f>
        <v>3.9348607677314349</v>
      </c>
      <c r="EU239" s="110">
        <f t="shared" ref="EU239:EU245" si="1938">IF(SeilBeregnet=0,EU238,((Loa+Lwl)/Bredde/6)^EU$3)</f>
        <v>1.0082311468433849</v>
      </c>
      <c r="EV239" s="110">
        <f t="shared" ref="EV239:EV245" si="1939">IF(SeilBeregnet=0,EV238,(Lwl*0.7+Loa*0.3)^EV$3)</f>
        <v>1.5962269088918948</v>
      </c>
      <c r="EW239" s="110">
        <f>IF(SeilBeregnet=0,"-",EW$7*(EY:EY+EW$6)*FB:FB*PropF+ErfaringsF+Dyp_F)</f>
        <v>0.92094788303572073</v>
      </c>
      <c r="EX239" s="144">
        <f t="shared" si="1909"/>
        <v>-4.0353903348070315</v>
      </c>
      <c r="EY239" s="110">
        <f>(EZ:EZ*FA:FA)^EY$3</f>
        <v>3.9999041951209806</v>
      </c>
      <c r="EZ239" s="136">
        <f t="shared" ref="EZ239:EZ245" si="1940">IF(SeilBeregnet=0,EZ238,(SeilBeregnet^0.5/(Depl^0.3333))^EZ$3)</f>
        <v>3.9348607677314349</v>
      </c>
      <c r="FA239" s="136">
        <f t="shared" ref="FA239:FA245" si="1941">IF(SeilBeregnet=0,FA238,((Loa+Lwl)/Bredde/6)^FA$3)</f>
        <v>1.0165300454651272</v>
      </c>
      <c r="FB239" s="110">
        <f t="shared" ref="FB239:FB245" si="1942">IF(SeilBeregnet=0,FB238,(Lwl*0.07+Loa*0.03)^FB$3)</f>
        <v>0.89762435525076267</v>
      </c>
      <c r="FC239" s="110">
        <f>IF(SeilBeregnet=0,"-",FC$7*(FE:FE+FC$6)*FI:FI*PropF+ErfaringsF+Dyp_F)</f>
        <v>0.91874964945548543</v>
      </c>
      <c r="FD239" s="144">
        <f t="shared" si="1910"/>
        <v>-4.2552136928305622</v>
      </c>
      <c r="FE239" s="110">
        <f>(FF:FF+FG:FG+FH:FH)^FE$3+FE$7</f>
        <v>6.1148828442527341</v>
      </c>
      <c r="FF239" s="136">
        <f t="shared" ref="FF239:FF245" si="1943">IF(SeilBeregnet=0,FF238,(SeilBeregnet^0.5/(Depl^0.3333))^FF$3)</f>
        <v>3.9348607677314349</v>
      </c>
      <c r="FG239" s="136">
        <f t="shared" ref="FG239:FG245" si="1944">IF(SeilBeregnet=0,FG238,(SeilBeregnet^0.5/Lwl*FG$7)^FG$3)</f>
        <v>0.81649658092772592</v>
      </c>
      <c r="FH239" s="136">
        <f t="shared" ref="FH239:FH245" si="1945">IF(SeilBeregnet=0,FH238,((Loa)/Bredde)^FH$3*FH$7)</f>
        <v>1.8635254955935732</v>
      </c>
      <c r="FI239" s="110">
        <f t="shared" ref="FI239:FI245" si="1946">IF(SeilBeregnet=0,FI238,(Lwl)^FI$3)</f>
        <v>1.5650845800732873</v>
      </c>
      <c r="FJ239" s="110">
        <f>IF(SeilBeregnet=0,"-",FJ$7*(FL:FL+FJ$6)*FO:FO*PropF+ErfaringsF+Dyp_F)</f>
        <v>0.92230605655200826</v>
      </c>
      <c r="FK239" s="144">
        <f t="shared" si="1911"/>
        <v>-3.8995729831782788</v>
      </c>
      <c r="FL239" s="110">
        <f>(FM:FM*FN:FN)^FL$3</f>
        <v>7.3327133622784304</v>
      </c>
      <c r="FM239" s="136">
        <f t="shared" ref="FM239:FM245" si="1947">IF(SeilBeregnet=0,FM238,(SeilBeregnet^0.5/(Depl^0.3333))^FM$3)</f>
        <v>3.9348607677314349</v>
      </c>
      <c r="FN239" s="136">
        <f t="shared" ref="FN239:FN245" si="1948">IF(SeilBeregnet=0,FN238,(Loa/Bredde)^FN$3)</f>
        <v>1.8635254955935732</v>
      </c>
      <c r="FO239" s="110">
        <f t="shared" ref="FO239:FO245" si="1949">IF(SeilBeregnet=0,FO238,Lwl^FO$3)</f>
        <v>1.5650845800732873</v>
      </c>
      <c r="FQ239" s="374">
        <v>1</v>
      </c>
      <c r="FR239" s="64">
        <f t="shared" si="1902"/>
        <v>1.1388478199984249</v>
      </c>
      <c r="FS239" s="479"/>
      <c r="FT239" s="18"/>
      <c r="FU239" s="481"/>
      <c r="FV239" s="504"/>
      <c r="FW239" s="18"/>
      <c r="FX239" s="18"/>
      <c r="FY239" s="18"/>
      <c r="FZ239" s="18"/>
      <c r="GB239" s="18"/>
      <c r="GC239" s="481"/>
      <c r="GD239" s="8"/>
      <c r="GE239" s="8"/>
      <c r="GF239" s="8"/>
      <c r="GG239" s="8"/>
      <c r="GI239" s="18"/>
      <c r="GJ239" s="18"/>
      <c r="GK239" s="18"/>
      <c r="GL239" s="18"/>
      <c r="GM239" s="18"/>
      <c r="GN239" s="18"/>
      <c r="GO239" s="18"/>
      <c r="GP239" s="18"/>
    </row>
    <row r="240" spans="1:198" ht="15.6" x14ac:dyDescent="0.3">
      <c r="A240" s="111" t="s">
        <v>86</v>
      </c>
      <c r="B240" s="223"/>
      <c r="C240" s="14" t="str">
        <f>C238</f>
        <v>Bermuda</v>
      </c>
      <c r="G240" s="56"/>
      <c r="H240" s="209">
        <f>TBFavrundet</f>
        <v>95</v>
      </c>
      <c r="I240" s="65"/>
      <c r="J240" s="228">
        <f>SUM(O240:AD240)</f>
        <v>24</v>
      </c>
      <c r="K240" s="119">
        <f>Seilareal/Depl^0.667/K$7</f>
        <v>1.4152979498346083</v>
      </c>
      <c r="L240" s="119">
        <f>Seilareal/Lwl/Lwl/L$7</f>
        <v>1.0115461808884627</v>
      </c>
      <c r="M240" s="95">
        <f>RiggF</f>
        <v>1</v>
      </c>
      <c r="N240" s="265">
        <f>StHfaktor</f>
        <v>1.0522814411075829</v>
      </c>
      <c r="O240" s="147"/>
      <c r="P240" s="147"/>
      <c r="Q240" s="147"/>
      <c r="R240" s="147"/>
      <c r="S240" s="147"/>
      <c r="T240" s="169">
        <v>7</v>
      </c>
      <c r="U240" s="148"/>
      <c r="V240" s="148"/>
      <c r="W240" s="148"/>
      <c r="X240" s="148"/>
      <c r="Y240" s="147"/>
      <c r="Z240" s="147"/>
      <c r="AA240" s="147"/>
      <c r="AB240" s="169">
        <v>17</v>
      </c>
      <c r="AC240" s="147"/>
      <c r="AD240" s="148"/>
      <c r="AE240" s="260">
        <f>AE239</f>
        <v>9.02</v>
      </c>
      <c r="AF240" s="375">
        <f t="shared" si="1912"/>
        <v>0</v>
      </c>
      <c r="AG240" s="377"/>
      <c r="AH240" s="375">
        <f t="shared" si="1912"/>
        <v>0</v>
      </c>
      <c r="AI240" s="377"/>
      <c r="AJ240" s="295" t="str">
        <f xml:space="preserve"> AJ239</f>
        <v>Folk</v>
      </c>
      <c r="AK240" s="47">
        <f>VLOOKUP(AJ240,Skrogform!$1:$1048576,3,FALSE)</f>
        <v>0.99</v>
      </c>
      <c r="AL240" s="66">
        <f t="shared" si="1913"/>
        <v>7.64</v>
      </c>
      <c r="AM240" s="66">
        <f t="shared" si="1913"/>
        <v>6</v>
      </c>
      <c r="AN240" s="66">
        <f t="shared" si="1913"/>
        <v>2.2000000000000002</v>
      </c>
      <c r="AO240" s="66">
        <f t="shared" si="1913"/>
        <v>1.2</v>
      </c>
      <c r="AP240" s="66">
        <f t="shared" si="1913"/>
        <v>1.93</v>
      </c>
      <c r="AQ240" s="66">
        <f t="shared" si="1913"/>
        <v>1.0249999999999999</v>
      </c>
      <c r="AR240" s="66">
        <f t="shared" si="1913"/>
        <v>0</v>
      </c>
      <c r="AS240" s="284">
        <f t="shared" si="1913"/>
        <v>0</v>
      </c>
      <c r="AT240" s="284">
        <f t="shared" si="1913"/>
        <v>40</v>
      </c>
      <c r="AU240" s="284">
        <f t="shared" ref="AU240:AV240" si="1950">AU239</f>
        <v>0</v>
      </c>
      <c r="AV240" s="284">
        <f t="shared" si="1950"/>
        <v>0</v>
      </c>
      <c r="AW240" s="284"/>
      <c r="AX240" s="284">
        <f>AX239</f>
        <v>0</v>
      </c>
      <c r="AY240" s="68"/>
      <c r="AZ240" s="68"/>
      <c r="BA240" s="289"/>
      <c r="BB240" s="68"/>
      <c r="BC240" s="179"/>
      <c r="BD240" s="68"/>
      <c r="BE240" s="68"/>
      <c r="BF240" s="67">
        <f t="shared" si="1915"/>
        <v>0</v>
      </c>
      <c r="BG240" s="295">
        <f t="shared" si="1915"/>
        <v>0</v>
      </c>
      <c r="BH240" s="295">
        <f t="shared" si="1915"/>
        <v>0</v>
      </c>
      <c r="BI240" s="47">
        <f t="shared" si="1903"/>
        <v>1</v>
      </c>
      <c r="BJ240" s="61">
        <f>BJ239</f>
        <v>0</v>
      </c>
      <c r="BK240" s="61"/>
      <c r="BM240" s="51">
        <f t="shared" si="1916"/>
        <v>0</v>
      </c>
      <c r="BN240" s="51">
        <f t="shared" si="1916"/>
        <v>0</v>
      </c>
      <c r="BO240" s="51">
        <f t="shared" si="1916"/>
        <v>0</v>
      </c>
      <c r="BP240" s="51">
        <f t="shared" si="1916"/>
        <v>0</v>
      </c>
      <c r="BQ240" s="51">
        <f t="shared" si="1916"/>
        <v>0</v>
      </c>
      <c r="BR240" s="51">
        <f t="shared" si="1916"/>
        <v>7</v>
      </c>
      <c r="BS240" s="52">
        <f>IF(COUNT(P240:T240)&gt;1,MINA(P240:T240)*BS$9,0)</f>
        <v>0</v>
      </c>
      <c r="BT240" s="88">
        <f t="shared" si="1917"/>
        <v>0</v>
      </c>
      <c r="BU240" s="88">
        <f t="shared" si="1917"/>
        <v>0</v>
      </c>
      <c r="BV240" s="88">
        <f t="shared" si="1917"/>
        <v>0</v>
      </c>
      <c r="BW240" s="88">
        <f t="shared" si="1917"/>
        <v>0</v>
      </c>
      <c r="BX240" s="88">
        <f t="shared" si="1917"/>
        <v>0</v>
      </c>
      <c r="BY240" s="88">
        <f t="shared" si="1917"/>
        <v>0</v>
      </c>
      <c r="BZ240" s="88">
        <f t="shared" si="1917"/>
        <v>0</v>
      </c>
      <c r="CA240" s="88">
        <f t="shared" si="1917"/>
        <v>17</v>
      </c>
      <c r="CB240" s="88">
        <f t="shared" si="1917"/>
        <v>0</v>
      </c>
      <c r="CC240" s="88">
        <f t="shared" si="1917"/>
        <v>0</v>
      </c>
      <c r="CD240" s="103">
        <f>SUM(BM240:CC240)</f>
        <v>24</v>
      </c>
      <c r="CE240" s="52"/>
      <c r="CF240" s="107">
        <f>J240</f>
        <v>24</v>
      </c>
      <c r="CG240" s="104">
        <f>CD240/CF240</f>
        <v>1</v>
      </c>
      <c r="CH240" s="53">
        <f>Seilareal/Lwl/Lwl</f>
        <v>0.66666666666666663</v>
      </c>
      <c r="CI240" s="119">
        <f>Seilareal/Depl^0.667/K$7</f>
        <v>1.4152979498346083</v>
      </c>
      <c r="CJ240" s="53">
        <f>Seilareal/Lwl/Lwl/SApRS1</f>
        <v>1.0115461808884627</v>
      </c>
      <c r="CK240" s="209"/>
      <c r="CL240" s="209">
        <f>(ROUND(TBF/CL$6,3)*CL$6)*CL$4</f>
        <v>95</v>
      </c>
      <c r="CM240" s="110">
        <f t="shared" si="1772"/>
        <v>0.95168876851995321</v>
      </c>
      <c r="CN240" s="64">
        <f>IF(SeilBeregnet=0,"-",(SeilBeregnet)^(1/2)*StHfaktor/(Depl+DeplTillegg/1000+Vann/1000+Diesel/1000*0.84)^(1/3))</f>
        <v>4.0066154735481518</v>
      </c>
      <c r="CO240" s="64">
        <f t="shared" si="1759"/>
        <v>1.7606816861659009</v>
      </c>
      <c r="CP240" s="64">
        <f t="shared" si="1760"/>
        <v>1.5650845800732873</v>
      </c>
      <c r="CQ240" s="110">
        <f t="shared" si="1761"/>
        <v>1.0522814411075829</v>
      </c>
      <c r="CR240" s="172" t="str">
        <f t="shared" si="1840"/>
        <v>-</v>
      </c>
      <c r="CS240" s="162"/>
      <c r="CT240" s="172" t="str">
        <f t="shared" si="1895"/>
        <v>-</v>
      </c>
      <c r="CU240" s="164"/>
      <c r="CV240" s="195" t="s">
        <v>145</v>
      </c>
      <c r="CW240" s="64" t="s">
        <v>111</v>
      </c>
      <c r="CX240" s="64" t="s">
        <v>111</v>
      </c>
      <c r="CY240" s="64" t="s">
        <v>111</v>
      </c>
      <c r="CZ240" s="154" t="s">
        <v>111</v>
      </c>
      <c r="DA240" s="64">
        <f t="shared" ref="DA240:DA271" si="1951">IF(SeilBeregnet=0,"-",((Dypg/(Lwl+DA$6-Bredde*DA$5))^(1/DA$4)*5)*DA$3*DA$7)</f>
        <v>2.1428939822296749</v>
      </c>
      <c r="DB240" s="49">
        <f t="shared" si="1904"/>
        <v>13.043478260869565</v>
      </c>
      <c r="DC240" s="50">
        <f t="shared" si="1905"/>
        <v>0</v>
      </c>
      <c r="DE240" s="110">
        <f>IF(SeilBeregnet=0,"-",DE$7*(DG:DG+DE$6)*DL:DL*PropF+ErfaringsF+Dyp_F)</f>
        <v>0.91657145793391248</v>
      </c>
      <c r="DF240" s="144" t="str">
        <f t="shared" si="1906"/>
        <v>-</v>
      </c>
      <c r="DG240" s="110">
        <f t="shared" si="1667"/>
        <v>5.7983862633250078</v>
      </c>
      <c r="DH240" s="136">
        <f t="shared" si="1918"/>
        <v>3.9348607677314349</v>
      </c>
      <c r="DI240" s="136">
        <f t="shared" si="1919"/>
        <v>0</v>
      </c>
      <c r="DJ240" s="136">
        <f t="shared" si="1920"/>
        <v>0</v>
      </c>
      <c r="DK240" s="136">
        <f t="shared" si="1921"/>
        <v>1.8635254955935732</v>
      </c>
      <c r="DL240" s="110">
        <f t="shared" si="1922"/>
        <v>1.5650845800732873</v>
      </c>
      <c r="DM240" s="136">
        <f t="shared" si="1923"/>
        <v>1.9815906667827816</v>
      </c>
      <c r="DO240" s="110">
        <f t="shared" si="669"/>
        <v>0.96130178638379105</v>
      </c>
      <c r="DP240" s="110">
        <f t="shared" ref="DP240:DP271" si="1952">IF(SeilBeregnet=0,"-",DP$7*(DP$4*SeilBeregnet^0.5/(Depl^0.33333*Bredde*Lwl)^0.3333*((Loa*0.03+Lwl*0.07)^0.33)*PropF+DP$6)+ErfaringsF+Dyp_F)</f>
        <v>0.85672985273594138</v>
      </c>
      <c r="DR240" s="110">
        <f t="shared" ref="DR240:DR271" si="1953">IF(SeilBeregnet=0,"-",DR$7*(DR$4*SeilBeregnet^0.5/(Depl^0.33333*Bredde*Lwl)^0.3333*Lwl^0.3333*((Loa+Lwl)/Bredde/6)^0.25*PropF+DR$6)+ErfaringsF+Dyp_F)</f>
        <v>0.86300375442641974</v>
      </c>
      <c r="DS240" s="125" t="str">
        <f t="shared" si="1907"/>
        <v>-</v>
      </c>
      <c r="DT240" s="110">
        <f t="shared" si="1671"/>
        <v>0.93259176738532801</v>
      </c>
      <c r="DU240" s="125" t="str">
        <f t="shared" si="1908"/>
        <v>-</v>
      </c>
      <c r="DV240" s="110">
        <f t="shared" si="1924"/>
        <v>3.9347831510070512</v>
      </c>
      <c r="DW240" s="110">
        <f t="shared" si="1925"/>
        <v>1.8170120679720481</v>
      </c>
      <c r="DX240" s="110">
        <f t="shared" si="1926"/>
        <v>1.5779670210741878</v>
      </c>
      <c r="DZ240" s="110">
        <f t="shared" si="1673"/>
        <v>0.93164386658105303</v>
      </c>
      <c r="EB240" s="110">
        <f t="shared" si="1927"/>
        <v>3.9347831510070512</v>
      </c>
      <c r="EC240" s="110">
        <f t="shared" si="1928"/>
        <v>1.8171097400544527</v>
      </c>
      <c r="ED240" s="110">
        <f t="shared" si="1929"/>
        <v>1.8369788246696532</v>
      </c>
      <c r="EE240" s="110">
        <f t="shared" si="1674"/>
        <v>0.92495173157128607</v>
      </c>
      <c r="EG240" s="110">
        <f t="shared" si="1930"/>
        <v>6.2089580473675028</v>
      </c>
      <c r="EH240" s="110">
        <f t="shared" si="1931"/>
        <v>3.9347831510070512</v>
      </c>
      <c r="EI240" s="110">
        <f t="shared" si="1932"/>
        <v>1.5779670210741878</v>
      </c>
      <c r="EJ240" s="110">
        <f t="shared" si="1933"/>
        <v>1.5650845800732873</v>
      </c>
      <c r="EK240" s="110">
        <f>IF(SeilBeregnet=0,"-",EK$7*(EK$4*EM:EM+EK$6)*EP:EP*PropF+ErfaringsF+Dyp_F)</f>
        <v>0.9245376112190884</v>
      </c>
      <c r="EM240" s="110">
        <f>IF(SeilBeregnet=0,EM239,(EN:EN*EO:EO)^EM$3)</f>
        <v>1.9917758229579621</v>
      </c>
      <c r="EN240" s="110">
        <f t="shared" si="1934"/>
        <v>3.9347831510070512</v>
      </c>
      <c r="EO240" s="110">
        <f t="shared" si="1935"/>
        <v>1.0082311468433849</v>
      </c>
      <c r="EP240" s="110">
        <f t="shared" si="1936"/>
        <v>1.5962269088918948</v>
      </c>
      <c r="EQ240" s="110">
        <f>IF(SeilBeregnet=0,"-",EQ$7*(ES:ES+EQ$6)*EV:EV*PropF+ErfaringsF+Dyp_F)</f>
        <v>0.86999614905036671</v>
      </c>
      <c r="ES240" s="110">
        <f>(ET:ET*EU:EU)^ES$3</f>
        <v>1.991795467541511</v>
      </c>
      <c r="ET240" s="110">
        <f t="shared" si="1937"/>
        <v>3.9348607677314349</v>
      </c>
      <c r="EU240" s="110">
        <f t="shared" si="1938"/>
        <v>1.0082311468433849</v>
      </c>
      <c r="EV240" s="110">
        <f t="shared" si="1939"/>
        <v>1.5962269088918948</v>
      </c>
      <c r="EW240" s="110">
        <f>IF(SeilBeregnet=0,"-",EW$7*(EY:EY+EW$6)*FB:FB*PropF+ErfaringsF+Dyp_F)</f>
        <v>0.92094788303572073</v>
      </c>
      <c r="EX240" s="144" t="str">
        <f t="shared" si="1909"/>
        <v>-</v>
      </c>
      <c r="EY240" s="110">
        <f>(EZ:EZ*FA:FA)^EY$3</f>
        <v>3.9999041951209806</v>
      </c>
      <c r="EZ240" s="136">
        <f t="shared" si="1940"/>
        <v>3.9348607677314349</v>
      </c>
      <c r="FA240" s="136">
        <f t="shared" si="1941"/>
        <v>1.0165300454651272</v>
      </c>
      <c r="FB240" s="110">
        <f t="shared" si="1942"/>
        <v>0.89762435525076267</v>
      </c>
      <c r="FC240" s="110">
        <f>IF(SeilBeregnet=0,"-",FC$7*(FE:FE+FC$6)*FI:FI*PropF+ErfaringsF+Dyp_F)</f>
        <v>0.91874964945548543</v>
      </c>
      <c r="FD240" s="144" t="str">
        <f t="shared" si="1910"/>
        <v>-</v>
      </c>
      <c r="FE240" s="110">
        <f>(FF:FF+FG:FG+FH:FH)^FE$3+FE$7</f>
        <v>6.1148828442527341</v>
      </c>
      <c r="FF240" s="136">
        <f t="shared" si="1943"/>
        <v>3.9348607677314349</v>
      </c>
      <c r="FG240" s="136">
        <f t="shared" si="1944"/>
        <v>0.81649658092772592</v>
      </c>
      <c r="FH240" s="136">
        <f t="shared" si="1945"/>
        <v>1.8635254955935732</v>
      </c>
      <c r="FI240" s="110">
        <f t="shared" si="1946"/>
        <v>1.5650845800732873</v>
      </c>
      <c r="FJ240" s="110">
        <f>IF(SeilBeregnet=0,"-",FJ$7*(FL:FL+FJ$6)*FO:FO*PropF+ErfaringsF+Dyp_F)</f>
        <v>0.92230605655200826</v>
      </c>
      <c r="FK240" s="144" t="str">
        <f t="shared" si="1911"/>
        <v>-</v>
      </c>
      <c r="FL240" s="110">
        <f>(FM:FM*FN:FN)^FL$3</f>
        <v>7.3327133622784304</v>
      </c>
      <c r="FM240" s="136">
        <f t="shared" si="1947"/>
        <v>3.9348607677314349</v>
      </c>
      <c r="FN240" s="136">
        <f t="shared" si="1948"/>
        <v>1.8635254955935732</v>
      </c>
      <c r="FO240" s="110">
        <f t="shared" si="1949"/>
        <v>1.5650845800732873</v>
      </c>
      <c r="FQ240" s="374">
        <v>1</v>
      </c>
      <c r="FR240" s="64">
        <f t="shared" si="1902"/>
        <v>1.1388478199984249</v>
      </c>
      <c r="FS240" s="479"/>
      <c r="FT240" s="18"/>
      <c r="FU240" s="481"/>
      <c r="FV240" s="504"/>
      <c r="FW240" s="18"/>
      <c r="FX240" s="18"/>
      <c r="FY240" s="18"/>
      <c r="FZ240" s="18"/>
      <c r="GB240" s="18"/>
      <c r="GC240" s="481"/>
      <c r="GD240" s="8"/>
      <c r="GE240" s="8"/>
      <c r="GF240" s="8"/>
      <c r="GG240" s="8"/>
      <c r="GI240" s="18"/>
      <c r="GJ240" s="18"/>
      <c r="GK240" s="18"/>
      <c r="GL240" s="18"/>
      <c r="GM240" s="18"/>
      <c r="GN240" s="18"/>
      <c r="GO240" s="18"/>
      <c r="GP240" s="18"/>
    </row>
    <row r="241" spans="1:198" ht="15.6" x14ac:dyDescent="0.3">
      <c r="A241" s="54" t="s">
        <v>199</v>
      </c>
      <c r="B241" s="223">
        <f t="shared" si="199"/>
        <v>25.787401574803148</v>
      </c>
      <c r="C241" s="55" t="s">
        <v>41</v>
      </c>
      <c r="D241" s="55"/>
      <c r="E241" s="55"/>
      <c r="F241" s="55"/>
      <c r="G241" s="56"/>
      <c r="H241" s="209"/>
      <c r="I241" s="126" t="str">
        <f>A241</f>
        <v>IF folkebåt</v>
      </c>
      <c r="J241" s="229"/>
      <c r="K241" s="119"/>
      <c r="L241" s="119"/>
      <c r="M241" s="95"/>
      <c r="N241" s="265"/>
      <c r="O241" s="169"/>
      <c r="P241" s="169">
        <v>15</v>
      </c>
      <c r="Q241" s="169"/>
      <c r="R241" s="169"/>
      <c r="S241" s="169"/>
      <c r="T241" s="169">
        <v>12</v>
      </c>
      <c r="U241" s="169"/>
      <c r="V241" s="169"/>
      <c r="W241" s="169"/>
      <c r="X241" s="169"/>
      <c r="Y241" s="169"/>
      <c r="Z241" s="169"/>
      <c r="AA241" s="169"/>
      <c r="AB241" s="169">
        <v>16</v>
      </c>
      <c r="AC241" s="169"/>
      <c r="AD241" s="169"/>
      <c r="AE241" s="270">
        <v>8.8000000000000007</v>
      </c>
      <c r="AF241" s="296"/>
      <c r="AG241" s="377"/>
      <c r="AH241" s="296"/>
      <c r="AI241" s="377"/>
      <c r="AJ241" s="296" t="s">
        <v>248</v>
      </c>
      <c r="AK241" s="47">
        <f>VLOOKUP(AJ241,Skrogform!$1:$1048576,3,FALSE)</f>
        <v>0.99</v>
      </c>
      <c r="AL241" s="57">
        <v>7.86</v>
      </c>
      <c r="AM241" s="57">
        <v>6.06</v>
      </c>
      <c r="AN241" s="57">
        <v>2.25</v>
      </c>
      <c r="AO241" s="57">
        <v>1.25</v>
      </c>
      <c r="AP241" s="57">
        <v>2.15</v>
      </c>
      <c r="AQ241" s="57">
        <v>1.25</v>
      </c>
      <c r="AR241" s="57"/>
      <c r="AS241" s="281"/>
      <c r="AT241" s="282">
        <f>AS241*7</f>
        <v>0</v>
      </c>
      <c r="AU241" s="281">
        <f>ROUND(Depl*10,-2)</f>
        <v>0</v>
      </c>
      <c r="AV241" s="281">
        <f>ROUND(Depl*10,-2)</f>
        <v>0</v>
      </c>
      <c r="AW241" s="270">
        <f>Depl+Diesel/1000+Vann/1000</f>
        <v>2.15</v>
      </c>
      <c r="AX241" s="281"/>
      <c r="AY241" s="98">
        <f>Bredde/(Loa+Lwl)*2</f>
        <v>0.32327586206896552</v>
      </c>
      <c r="AZ241" s="98">
        <f>(Kjøl+Ballast)/Depl</f>
        <v>0.58139534883720934</v>
      </c>
      <c r="BA241" s="288">
        <f>BA$7*((Depl-Kjøl-Ballast-VektMotor/1000-VektAnnet/1000)/Loa/Lwl/Bredde)</f>
        <v>0.36335482730272989</v>
      </c>
      <c r="BB241" s="98">
        <f>BB$7*(Depl/Loa/Lwl/Lwl)</f>
        <v>0.55931803724487317</v>
      </c>
      <c r="BC241" s="178">
        <f>BC$7*(Depl/Loa/Lwl/Bredde)</f>
        <v>0.55682822722216152</v>
      </c>
      <c r="BD241" s="98">
        <f>BD$7*Bredde/(Loa+Lwl)*2</f>
        <v>0.92220522803114569</v>
      </c>
      <c r="BE241" s="98">
        <f>BE$7*(Dypg/Lwl)</f>
        <v>1.1282106471516717</v>
      </c>
      <c r="BF241" s="58"/>
      <c r="BG241" s="296"/>
      <c r="BH241" s="296"/>
      <c r="BI241" s="47">
        <f t="shared" si="1903"/>
        <v>1</v>
      </c>
      <c r="BJ241" s="61">
        <v>0</v>
      </c>
      <c r="BK241" s="61"/>
      <c r="BM241" s="214"/>
      <c r="BN241" s="214" t="str">
        <f>$A241</f>
        <v>IF folkebåt</v>
      </c>
      <c r="BO241" s="10"/>
      <c r="BP241" s="10"/>
      <c r="BQ241" s="10"/>
      <c r="BR241" s="10"/>
      <c r="BS241" s="52"/>
      <c r="BT241" s="214" t="str">
        <f>$A241</f>
        <v>IF folkebåt</v>
      </c>
      <c r="BU241" s="10"/>
      <c r="BV241" s="10"/>
      <c r="BW241" s="10"/>
      <c r="BX241" s="10"/>
      <c r="BY241" s="10"/>
      <c r="BZ241" s="10"/>
      <c r="CA241" s="10"/>
      <c r="CB241" s="10"/>
      <c r="CC241" s="10"/>
      <c r="CD241" s="214"/>
      <c r="CE241" s="10"/>
      <c r="CF241" s="214" t="str">
        <f>$A241</f>
        <v>IF folkebåt</v>
      </c>
      <c r="CG241" s="212"/>
      <c r="CH241" s="212"/>
      <c r="CI241" s="119"/>
      <c r="CJ241" s="212"/>
      <c r="CK241" s="208"/>
      <c r="CL241" s="208" t="s">
        <v>26</v>
      </c>
      <c r="CM241" s="110" t="str">
        <f t="shared" si="1772"/>
        <v>-</v>
      </c>
      <c r="CN241" s="64" t="str">
        <f>IF(SeilBeregnet=0,"-",(SeilBeregnet)^(1/2)*StHfaktor/(Depl+DeplTillegg/1000+Vann/1000+Diesel/1000*0.84)^(1/3))</f>
        <v>-</v>
      </c>
      <c r="CO241" s="64" t="str">
        <f t="shared" si="1759"/>
        <v>-</v>
      </c>
      <c r="CP241" s="64" t="str">
        <f t="shared" si="1760"/>
        <v>-</v>
      </c>
      <c r="CQ241" s="110" t="str">
        <f t="shared" si="1761"/>
        <v>-</v>
      </c>
      <c r="CR241" s="172" t="str">
        <f t="shared" si="1840"/>
        <v>-</v>
      </c>
      <c r="CS241" s="162"/>
      <c r="CT241" s="172" t="str">
        <f t="shared" si="1895"/>
        <v>-</v>
      </c>
      <c r="CU241" s="164"/>
      <c r="CV241" s="195" t="s">
        <v>145</v>
      </c>
      <c r="CW241" s="30" t="s">
        <v>26</v>
      </c>
      <c r="CX241" s="30" t="s">
        <v>26</v>
      </c>
      <c r="CY241" s="30" t="s">
        <v>26</v>
      </c>
      <c r="CZ241" s="153">
        <v>2022</v>
      </c>
      <c r="DA241" s="64" t="str">
        <f t="shared" si="1951"/>
        <v>-</v>
      </c>
      <c r="DB241" s="49">
        <f t="shared" si="1904"/>
        <v>13.426423200859293</v>
      </c>
      <c r="DC241" s="50">
        <f t="shared" si="1905"/>
        <v>0</v>
      </c>
      <c r="DE241" s="110" t="str">
        <f>IF(SeilBeregnet=0,"-",DE$7*(DG:DG+DE$6)*DL:DL*PropF+ErfaringsF+Dyp_F)</f>
        <v>-</v>
      </c>
      <c r="DF241" s="144" t="str">
        <f t="shared" si="1906"/>
        <v>-</v>
      </c>
      <c r="DG241" s="110">
        <f t="shared" si="1667"/>
        <v>5.7983862633250078</v>
      </c>
      <c r="DH241" s="136">
        <f t="shared" si="1918"/>
        <v>3.9348607677314349</v>
      </c>
      <c r="DI241" s="136">
        <f t="shared" si="1919"/>
        <v>0</v>
      </c>
      <c r="DJ241" s="136">
        <f t="shared" si="1920"/>
        <v>0</v>
      </c>
      <c r="DK241" s="136">
        <f t="shared" si="1921"/>
        <v>1.8635254955935732</v>
      </c>
      <c r="DL241" s="110">
        <f t="shared" si="1922"/>
        <v>1.5650845800732873</v>
      </c>
      <c r="DM241" s="136">
        <f t="shared" si="1923"/>
        <v>1.9815906667827816</v>
      </c>
      <c r="DO241" s="110" t="str">
        <f t="shared" si="258"/>
        <v>-</v>
      </c>
      <c r="DP241" s="110" t="str">
        <f t="shared" si="1952"/>
        <v>-</v>
      </c>
      <c r="DR241" s="110" t="str">
        <f t="shared" si="1953"/>
        <v>-</v>
      </c>
      <c r="DS241" s="125" t="str">
        <f t="shared" si="1907"/>
        <v>-</v>
      </c>
      <c r="DT241" s="110" t="str">
        <f t="shared" si="1671"/>
        <v>-</v>
      </c>
      <c r="DU241" s="125" t="str">
        <f t="shared" si="1908"/>
        <v>-</v>
      </c>
      <c r="DV241" s="110">
        <f t="shared" si="1924"/>
        <v>3.9347831510070512</v>
      </c>
      <c r="DW241" s="110">
        <f t="shared" si="1925"/>
        <v>1.8170120679720481</v>
      </c>
      <c r="DX241" s="110">
        <f t="shared" si="1926"/>
        <v>1.5779670210741878</v>
      </c>
      <c r="DZ241" s="110" t="str">
        <f t="shared" si="1673"/>
        <v>-</v>
      </c>
      <c r="EB241" s="110">
        <f t="shared" si="1927"/>
        <v>3.9347831510070512</v>
      </c>
      <c r="EC241" s="110">
        <f t="shared" si="1928"/>
        <v>1.8171097400544527</v>
      </c>
      <c r="ED241" s="110">
        <f t="shared" si="1929"/>
        <v>1.8369788246696532</v>
      </c>
      <c r="EE241" s="110" t="str">
        <f t="shared" si="1674"/>
        <v>-</v>
      </c>
      <c r="EG241" s="110">
        <f t="shared" si="1930"/>
        <v>6.2089580473675028</v>
      </c>
      <c r="EH241" s="110">
        <f t="shared" si="1931"/>
        <v>3.9347831510070512</v>
      </c>
      <c r="EI241" s="110">
        <f t="shared" si="1932"/>
        <v>1.5779670210741878</v>
      </c>
      <c r="EJ241" s="110">
        <f t="shared" si="1933"/>
        <v>1.5650845800732873</v>
      </c>
      <c r="EK241" s="110" t="str">
        <f>IF(SeilBeregnet=0,"-",EK$7*(EK$4*EM:EM+EK$6)*EP:EP*PropF+ErfaringsF+Dyp_F)</f>
        <v>-</v>
      </c>
      <c r="EM241" s="110">
        <f>IF(SeilBeregnet=0,EM240,(EN:EN*EO:EO)^EM$3)</f>
        <v>1.9917758229579621</v>
      </c>
      <c r="EN241" s="110">
        <f t="shared" si="1934"/>
        <v>3.9347831510070512</v>
      </c>
      <c r="EO241" s="110">
        <f t="shared" si="1935"/>
        <v>1.0082311468433849</v>
      </c>
      <c r="EP241" s="110">
        <f t="shared" si="1936"/>
        <v>1.5962269088918948</v>
      </c>
      <c r="EQ241" s="110" t="str">
        <f>IF(SeilBeregnet=0,"-",EQ$7*(ES:ES+EQ$6)*EV:EV*PropF+ErfaringsF+Dyp_F)</f>
        <v>-</v>
      </c>
      <c r="ES241" s="110">
        <f>(ET:ET*EU:EU)^ES$3</f>
        <v>1.991795467541511</v>
      </c>
      <c r="ET241" s="110">
        <f t="shared" si="1937"/>
        <v>3.9348607677314349</v>
      </c>
      <c r="EU241" s="110">
        <f t="shared" si="1938"/>
        <v>1.0082311468433849</v>
      </c>
      <c r="EV241" s="110">
        <f t="shared" si="1939"/>
        <v>1.5962269088918948</v>
      </c>
      <c r="EW241" s="110" t="str">
        <f>IF(SeilBeregnet=0,"-",EW$7*(EY:EY+EW$6)*FB:FB*PropF+ErfaringsF+Dyp_F)</f>
        <v>-</v>
      </c>
      <c r="EX241" s="144" t="str">
        <f t="shared" si="1909"/>
        <v>-</v>
      </c>
      <c r="EY241" s="110">
        <f>(EZ:EZ*FA:FA)^EY$3</f>
        <v>3.9999041951209806</v>
      </c>
      <c r="EZ241" s="136">
        <f t="shared" si="1940"/>
        <v>3.9348607677314349</v>
      </c>
      <c r="FA241" s="136">
        <f t="shared" si="1941"/>
        <v>1.0165300454651272</v>
      </c>
      <c r="FB241" s="110">
        <f t="shared" si="1942"/>
        <v>0.89762435525076267</v>
      </c>
      <c r="FC241" s="110" t="str">
        <f>IF(SeilBeregnet=0,"-",FC$7*(FE:FE+FC$6)*FI:FI*PropF+ErfaringsF+Dyp_F)</f>
        <v>-</v>
      </c>
      <c r="FD241" s="144" t="str">
        <f t="shared" si="1910"/>
        <v>-</v>
      </c>
      <c r="FE241" s="110">
        <f>(FF:FF+FG:FG+FH:FH)^FE$3+FE$7</f>
        <v>6.1148828442527341</v>
      </c>
      <c r="FF241" s="136">
        <f t="shared" si="1943"/>
        <v>3.9348607677314349</v>
      </c>
      <c r="FG241" s="136">
        <f t="shared" si="1944"/>
        <v>0.81649658092772592</v>
      </c>
      <c r="FH241" s="136">
        <f t="shared" si="1945"/>
        <v>1.8635254955935732</v>
      </c>
      <c r="FI241" s="110">
        <f t="shared" si="1946"/>
        <v>1.5650845800732873</v>
      </c>
      <c r="FJ241" s="110" t="str">
        <f>IF(SeilBeregnet=0,"-",FJ$7*(FL:FL+FJ$6)*FO:FO*PropF+ErfaringsF+Dyp_F)</f>
        <v>-</v>
      </c>
      <c r="FK241" s="144" t="str">
        <f t="shared" si="1911"/>
        <v>-</v>
      </c>
      <c r="FL241" s="110">
        <f>(FM:FM*FN:FN)^FL$3</f>
        <v>7.3327133622784304</v>
      </c>
      <c r="FM241" s="136">
        <f t="shared" si="1947"/>
        <v>3.9348607677314349</v>
      </c>
      <c r="FN241" s="136">
        <f t="shared" si="1948"/>
        <v>1.8635254955935732</v>
      </c>
      <c r="FO241" s="110">
        <f t="shared" si="1949"/>
        <v>1.5650845800732873</v>
      </c>
      <c r="FQ241" s="374">
        <v>1</v>
      </c>
      <c r="FR241" s="64" t="str">
        <f t="shared" si="1902"/>
        <v>-</v>
      </c>
      <c r="FS241" s="480"/>
      <c r="FT241" s="59"/>
      <c r="FU241" s="475"/>
      <c r="FV241" s="77"/>
      <c r="FW241" s="59"/>
      <c r="FX241" s="59"/>
      <c r="FY241" s="59"/>
      <c r="FZ241" s="59"/>
      <c r="GB241" s="59" t="s">
        <v>522</v>
      </c>
      <c r="GC241" s="475" t="s">
        <v>522</v>
      </c>
      <c r="GD241" s="60" t="s">
        <v>522</v>
      </c>
      <c r="GE241" s="60" t="s">
        <v>522</v>
      </c>
      <c r="GF241" s="60" t="s">
        <v>522</v>
      </c>
      <c r="GG241" s="60" t="s">
        <v>522</v>
      </c>
      <c r="GI241" s="59"/>
      <c r="GJ241" s="59"/>
      <c r="GK241" s="59"/>
      <c r="GL241" s="59"/>
      <c r="GM241" s="59"/>
      <c r="GN241" s="59"/>
      <c r="GO241" s="59"/>
      <c r="GP241" s="59"/>
    </row>
    <row r="242" spans="1:198" ht="15.6" x14ac:dyDescent="0.3">
      <c r="A242" s="111" t="s">
        <v>198</v>
      </c>
      <c r="B242" s="223"/>
      <c r="C242" s="63" t="str">
        <f>C241</f>
        <v>Bermuda</v>
      </c>
      <c r="D242" s="63"/>
      <c r="E242" s="63"/>
      <c r="F242" s="63"/>
      <c r="G242" s="56"/>
      <c r="H242" s="209">
        <f>TBFavrundet</f>
        <v>101.50000000000001</v>
      </c>
      <c r="I242" s="65">
        <f>COUNTA(O242:AD242)</f>
        <v>2</v>
      </c>
      <c r="J242" s="228">
        <f>SUM(O242:AD242)</f>
        <v>31</v>
      </c>
      <c r="K242" s="119">
        <f>Seilareal/Depl^0.667/K$7</f>
        <v>1.7010951330336366</v>
      </c>
      <c r="L242" s="119">
        <f>Seilareal/Lwl/Lwl/L$7</f>
        <v>1.2808356863519241</v>
      </c>
      <c r="M242" s="95">
        <f>RiggF</f>
        <v>1</v>
      </c>
      <c r="N242" s="265">
        <f>StHfaktor</f>
        <v>1.0477345273113947</v>
      </c>
      <c r="O242" s="147"/>
      <c r="P242" s="169">
        <v>15</v>
      </c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69">
        <v>16</v>
      </c>
      <c r="AC242" s="147"/>
      <c r="AD242" s="148"/>
      <c r="AE242" s="260">
        <f>AE241</f>
        <v>8.8000000000000007</v>
      </c>
      <c r="AF242" s="375">
        <f t="shared" ref="AF242:AH242" si="1954" xml:space="preserve"> AF241</f>
        <v>0</v>
      </c>
      <c r="AG242" s="377"/>
      <c r="AH242" s="375">
        <f t="shared" si="1954"/>
        <v>0</v>
      </c>
      <c r="AI242" s="377"/>
      <c r="AJ242" s="295" t="str">
        <f xml:space="preserve"> AJ241</f>
        <v>Folk</v>
      </c>
      <c r="AK242" s="47">
        <f>VLOOKUP(AJ242,Skrogform!$1:$1048576,3,FALSE)</f>
        <v>0.99</v>
      </c>
      <c r="AL242" s="66">
        <f t="shared" ref="AL242:AT242" si="1955">AL241</f>
        <v>7.86</v>
      </c>
      <c r="AM242" s="66">
        <f t="shared" si="1955"/>
        <v>6.06</v>
      </c>
      <c r="AN242" s="66">
        <f t="shared" si="1955"/>
        <v>2.25</v>
      </c>
      <c r="AO242" s="66">
        <f t="shared" si="1955"/>
        <v>1.25</v>
      </c>
      <c r="AP242" s="66">
        <f t="shared" si="1955"/>
        <v>2.15</v>
      </c>
      <c r="AQ242" s="66">
        <f t="shared" si="1955"/>
        <v>1.25</v>
      </c>
      <c r="AR242" s="66">
        <f t="shared" si="1955"/>
        <v>0</v>
      </c>
      <c r="AS242" s="284">
        <f t="shared" si="1955"/>
        <v>0</v>
      </c>
      <c r="AT242" s="284">
        <f t="shared" si="1955"/>
        <v>0</v>
      </c>
      <c r="AU242" s="284">
        <f t="shared" ref="AU242:AV242" si="1956">AU241</f>
        <v>0</v>
      </c>
      <c r="AV242" s="284">
        <f t="shared" si="1956"/>
        <v>0</v>
      </c>
      <c r="AW242" s="284"/>
      <c r="AX242" s="284">
        <f>AX241</f>
        <v>0</v>
      </c>
      <c r="AY242" s="68"/>
      <c r="AZ242" s="68"/>
      <c r="BA242" s="289"/>
      <c r="BB242" s="68"/>
      <c r="BC242" s="179"/>
      <c r="BD242" s="68"/>
      <c r="BE242" s="68"/>
      <c r="BF242" s="67">
        <f xml:space="preserve"> BF241</f>
        <v>0</v>
      </c>
      <c r="BG242" s="295">
        <f xml:space="preserve"> BG241</f>
        <v>0</v>
      </c>
      <c r="BH242" s="295">
        <f xml:space="preserve"> BH241</f>
        <v>0</v>
      </c>
      <c r="BI242" s="47">
        <f t="shared" si="1903"/>
        <v>1</v>
      </c>
      <c r="BJ242" s="61">
        <f>BJ241</f>
        <v>0</v>
      </c>
      <c r="BK242" s="61"/>
      <c r="BM242" s="51">
        <f t="shared" ref="BM242:BR242" si="1957">IF(O242=0,0,O242*BM$9)</f>
        <v>0</v>
      </c>
      <c r="BN242" s="51">
        <f t="shared" si="1957"/>
        <v>15</v>
      </c>
      <c r="BO242" s="51">
        <f t="shared" si="1957"/>
        <v>0</v>
      </c>
      <c r="BP242" s="51">
        <f t="shared" si="1957"/>
        <v>0</v>
      </c>
      <c r="BQ242" s="51">
        <f t="shared" si="1957"/>
        <v>0</v>
      </c>
      <c r="BR242" s="51">
        <f t="shared" si="1957"/>
        <v>0</v>
      </c>
      <c r="BS242" s="52">
        <f>IF(COUNT(P242:T242)&gt;1,MINA(P242:T242)*BS$9,0)</f>
        <v>0</v>
      </c>
      <c r="BT242" s="88">
        <f t="shared" ref="BT242:CC242" si="1958">IF(U242=0,0,U242*BT$9)</f>
        <v>0</v>
      </c>
      <c r="BU242" s="88">
        <f t="shared" si="1958"/>
        <v>0</v>
      </c>
      <c r="BV242" s="88">
        <f t="shared" si="1958"/>
        <v>0</v>
      </c>
      <c r="BW242" s="88">
        <f t="shared" si="1958"/>
        <v>0</v>
      </c>
      <c r="BX242" s="88">
        <f t="shared" si="1958"/>
        <v>0</v>
      </c>
      <c r="BY242" s="88">
        <f t="shared" si="1958"/>
        <v>0</v>
      </c>
      <c r="BZ242" s="88">
        <f t="shared" si="1958"/>
        <v>0</v>
      </c>
      <c r="CA242" s="88">
        <f t="shared" si="1958"/>
        <v>16</v>
      </c>
      <c r="CB242" s="88">
        <f t="shared" si="1958"/>
        <v>0</v>
      </c>
      <c r="CC242" s="88">
        <f t="shared" si="1958"/>
        <v>0</v>
      </c>
      <c r="CD242" s="103">
        <f>SUM(BM242:CC242)</f>
        <v>31</v>
      </c>
      <c r="CE242" s="52"/>
      <c r="CF242" s="107">
        <f>J242</f>
        <v>31</v>
      </c>
      <c r="CG242" s="104">
        <f>CD242/CF242</f>
        <v>1</v>
      </c>
      <c r="CH242" s="53">
        <f>Seilareal/Lwl/Lwl</f>
        <v>0.84414382032262647</v>
      </c>
      <c r="CI242" s="119">
        <f>Seilareal/Depl^0.667/K$7</f>
        <v>1.7010951330336366</v>
      </c>
      <c r="CJ242" s="53">
        <f>Seilareal/Lwl/Lwl/SApRS1</f>
        <v>1.2808356863519241</v>
      </c>
      <c r="CK242" s="209"/>
      <c r="CL242" s="209">
        <f>(ROUND(TBF/CL$6,3)*CL$6)*CL$4</f>
        <v>101.50000000000001</v>
      </c>
      <c r="CM242" s="110">
        <f t="shared" si="1772"/>
        <v>1.0167967811516994</v>
      </c>
      <c r="CN242" s="64">
        <f>IF(SeilBeregnet=0,"-",(SeilBeregnet)^(1/2)*StHfaktor/(Depl+DeplTillegg/1000+Vann/1000+Diesel/1000*0.84)^(1/3))</f>
        <v>4.3877595030296126</v>
      </c>
      <c r="CO242" s="64">
        <f t="shared" si="1759"/>
        <v>1.7587874611030558</v>
      </c>
      <c r="CP242" s="64">
        <f t="shared" si="1760"/>
        <v>1.5689827038620388</v>
      </c>
      <c r="CQ242" s="110">
        <f t="shared" si="1761"/>
        <v>1.0477345273113947</v>
      </c>
      <c r="CR242" s="172" t="str">
        <f t="shared" si="1840"/>
        <v>-</v>
      </c>
      <c r="CS242" s="163"/>
      <c r="CT242" s="172" t="str">
        <f t="shared" si="1895"/>
        <v>-</v>
      </c>
      <c r="CU242" s="163"/>
      <c r="CV242" s="195" t="s">
        <v>145</v>
      </c>
      <c r="CW242" s="64">
        <v>0.89</v>
      </c>
      <c r="CX242" s="64">
        <v>0.89</v>
      </c>
      <c r="CY242" s="64">
        <v>0.97</v>
      </c>
      <c r="CZ242" s="154">
        <v>1.02</v>
      </c>
      <c r="DA242" s="64">
        <f t="shared" si="1951"/>
        <v>2.1781374869645882</v>
      </c>
      <c r="DB242" s="49">
        <f t="shared" si="1904"/>
        <v>13.426423200859293</v>
      </c>
      <c r="DC242" s="50">
        <f t="shared" si="1905"/>
        <v>0</v>
      </c>
      <c r="DE242" s="139">
        <f>IF(SeilBeregnet=0,"-",DE$7*(DG:DG+DE$6)*DL:DL*PropF+ErfaringsF+Dyp_F)</f>
        <v>0.97980870626558214</v>
      </c>
      <c r="DF242" s="144">
        <f t="shared" si="1906"/>
        <v>-4.7258749443205179</v>
      </c>
      <c r="DG242" s="110">
        <f t="shared" si="1667"/>
        <v>6.1830358459529888</v>
      </c>
      <c r="DH242" s="136">
        <f t="shared" si="1918"/>
        <v>4.3139897434361636</v>
      </c>
      <c r="DI242" s="136">
        <f t="shared" si="1919"/>
        <v>0</v>
      </c>
      <c r="DJ242" s="136">
        <f t="shared" si="1920"/>
        <v>0</v>
      </c>
      <c r="DK242" s="136">
        <f t="shared" si="1921"/>
        <v>1.869046102516825</v>
      </c>
      <c r="DL242" s="110">
        <f t="shared" si="1922"/>
        <v>1.5689827038620388</v>
      </c>
      <c r="DM242" s="136">
        <f t="shared" si="1923"/>
        <v>1.9939475850709263</v>
      </c>
      <c r="DO242" s="74">
        <f t="shared" si="258"/>
        <v>1.0270674557087873</v>
      </c>
      <c r="DP242" s="110">
        <f t="shared" si="1952"/>
        <v>0.93385622378143707</v>
      </c>
      <c r="DQ242" s="125">
        <f>DP242-DO242</f>
        <v>-9.3211231927350258E-2</v>
      </c>
      <c r="DR242" s="110">
        <f t="shared" si="1953"/>
        <v>0.92308358484861575</v>
      </c>
      <c r="DS242" s="125">
        <f t="shared" si="1907"/>
        <v>-0.10398387086017158</v>
      </c>
      <c r="DT242" s="110">
        <f t="shared" si="1671"/>
        <v>1.002865216000498</v>
      </c>
      <c r="DU242" s="125">
        <f t="shared" si="1908"/>
        <v>-2.4202239708289275E-2</v>
      </c>
      <c r="DV242" s="110">
        <f t="shared" si="1924"/>
        <v>4.3138906779610418</v>
      </c>
      <c r="DW242" s="110">
        <f t="shared" si="1925"/>
        <v>1.8230480925967594</v>
      </c>
      <c r="DX242" s="110">
        <f t="shared" si="1926"/>
        <v>1.577117966679628</v>
      </c>
      <c r="DZ242" s="110">
        <f t="shared" si="1673"/>
        <v>0.99508346952319193</v>
      </c>
      <c r="EB242" s="110">
        <f t="shared" si="1927"/>
        <v>4.3138906779610418</v>
      </c>
      <c r="EC242" s="110">
        <f t="shared" si="1928"/>
        <v>1.8231466333682971</v>
      </c>
      <c r="ED242" s="110">
        <f t="shared" si="1929"/>
        <v>1.8356611806071987</v>
      </c>
      <c r="EE242" s="110">
        <f t="shared" si="1674"/>
        <v>0.99441452821650733</v>
      </c>
      <c r="EG242" s="110">
        <f t="shared" si="1930"/>
        <v>6.8035144945041202</v>
      </c>
      <c r="EH242" s="110">
        <f t="shared" si="1931"/>
        <v>4.3138906779610418</v>
      </c>
      <c r="EI242" s="110">
        <f t="shared" si="1932"/>
        <v>1.577117966679628</v>
      </c>
      <c r="EJ242" s="110">
        <f t="shared" si="1933"/>
        <v>1.5689827038620388</v>
      </c>
      <c r="EK242" s="110">
        <f>IF(SeilBeregnet=0,"-",EK$7*(EK$4*EM:EM+EK$6)*EP:EP*PropF+ErfaringsF+Dyp_F)</f>
        <v>0.98634923564339416</v>
      </c>
      <c r="EM242" s="110">
        <f>IF(SeilBeregnet=0,EM241,(EN:EN*EO:EO)^EM$3)</f>
        <v>2.0849601125448349</v>
      </c>
      <c r="EN242" s="110">
        <f t="shared" si="1934"/>
        <v>4.3138906779610418</v>
      </c>
      <c r="EO242" s="110">
        <f t="shared" si="1935"/>
        <v>1.0076886493928507</v>
      </c>
      <c r="EP242" s="110">
        <f t="shared" si="1936"/>
        <v>1.6028245430280339</v>
      </c>
      <c r="EQ242" s="110">
        <f>IF(SeilBeregnet=0,"-",EQ$7*(ES:ES+EQ$6)*EV:EV*PropF+ErfaringsF+Dyp_F)</f>
        <v>0.91446414931389364</v>
      </c>
      <c r="ES242" s="110">
        <f>(ET:ET*EU:EU)^ES$3</f>
        <v>2.084984052231047</v>
      </c>
      <c r="ET242" s="110">
        <f t="shared" si="1937"/>
        <v>4.3139897434361636</v>
      </c>
      <c r="EU242" s="110">
        <f t="shared" si="1938"/>
        <v>1.0076886493928507</v>
      </c>
      <c r="EV242" s="110">
        <f t="shared" si="1939"/>
        <v>1.6028245430280339</v>
      </c>
      <c r="EW242" s="110">
        <f>IF(SeilBeregnet=0,"-",EW$7*(EY:EY+EW$6)*FB:FB*PropF+ErfaringsF+Dyp_F)</f>
        <v>0.9834276334319868</v>
      </c>
      <c r="EX242" s="144">
        <f t="shared" si="1909"/>
        <v>-4.3639822276800526</v>
      </c>
      <c r="EY242" s="110">
        <f>(EZ:EZ*FA:FA)^EY$3</f>
        <v>4.3805822756045165</v>
      </c>
      <c r="EZ242" s="136">
        <f t="shared" si="1940"/>
        <v>4.3139897434361636</v>
      </c>
      <c r="FA242" s="136">
        <f t="shared" si="1941"/>
        <v>1.0154364141151877</v>
      </c>
      <c r="FB242" s="110">
        <f t="shared" si="1942"/>
        <v>0.90133447757400031</v>
      </c>
      <c r="FC242" s="110">
        <f>IF(SeilBeregnet=0,"-",FC$7*(FE:FE+FC$6)*FI:FI*PropF+ErfaringsF+Dyp_F)</f>
        <v>0.99437989334958732</v>
      </c>
      <c r="FD242" s="144">
        <f t="shared" si="1910"/>
        <v>-3.2687562359200006</v>
      </c>
      <c r="FE242" s="110">
        <f>(FF:FF+FG:FG+FH:FH)^FE$3+FE$7</f>
        <v>6.6018088431196587</v>
      </c>
      <c r="FF242" s="136">
        <f t="shared" si="1943"/>
        <v>4.3139897434361636</v>
      </c>
      <c r="FG242" s="136">
        <f t="shared" si="1944"/>
        <v>0.91877299716667027</v>
      </c>
      <c r="FH242" s="136">
        <f t="shared" si="1945"/>
        <v>1.869046102516825</v>
      </c>
      <c r="FI242" s="110">
        <f t="shared" si="1946"/>
        <v>1.5689827038620388</v>
      </c>
      <c r="FJ242" s="110">
        <f>IF(SeilBeregnet=0,"-",FJ$7*(FL:FL+FJ$6)*FO:FO*PropF+ErfaringsF+Dyp_F)</f>
        <v>0.9841889244054326</v>
      </c>
      <c r="FK242" s="144">
        <f t="shared" si="1911"/>
        <v>-4.2878531303354723</v>
      </c>
      <c r="FL242" s="110">
        <f>(FM:FM*FN:FN)^FL$3</f>
        <v>8.0630457162669202</v>
      </c>
      <c r="FM242" s="136">
        <f t="shared" si="1947"/>
        <v>4.3139897434361636</v>
      </c>
      <c r="FN242" s="136">
        <f t="shared" si="1948"/>
        <v>1.869046102516825</v>
      </c>
      <c r="FO242" s="110">
        <f t="shared" si="1949"/>
        <v>1.5689827038620388</v>
      </c>
      <c r="FQ242" s="374">
        <v>1</v>
      </c>
      <c r="FR242" s="64">
        <f t="shared" si="1902"/>
        <v>1.1999407846602366</v>
      </c>
      <c r="FS242" s="479"/>
      <c r="FT242" s="18"/>
      <c r="FU242" s="481"/>
      <c r="FV242" s="504"/>
      <c r="FW242" s="18"/>
      <c r="FX242" s="18"/>
      <c r="FY242" s="18"/>
      <c r="FZ242" s="18"/>
      <c r="GB242" s="18"/>
      <c r="GC242" s="481"/>
      <c r="GD242" s="8"/>
      <c r="GE242" s="8"/>
      <c r="GF242" s="8"/>
      <c r="GG242" s="8"/>
      <c r="GI242" s="18"/>
      <c r="GJ242" s="18"/>
      <c r="GK242" s="18"/>
      <c r="GL242" s="18"/>
      <c r="GM242" s="18"/>
      <c r="GN242" s="18"/>
      <c r="GO242" s="18"/>
      <c r="GP242" s="18"/>
    </row>
    <row r="243" spans="1:198" ht="15.6" x14ac:dyDescent="0.3">
      <c r="A243" s="54" t="s">
        <v>85</v>
      </c>
      <c r="B243" s="223">
        <f t="shared" si="199"/>
        <v>36.056430446194227</v>
      </c>
      <c r="C243" s="55" t="s">
        <v>41</v>
      </c>
      <c r="D243" s="55"/>
      <c r="E243" s="55"/>
      <c r="F243" s="55"/>
      <c r="G243" s="56"/>
      <c r="H243" s="209"/>
      <c r="I243" s="126" t="str">
        <f>A243</f>
        <v>FILIBUSTER</v>
      </c>
      <c r="J243" s="229"/>
      <c r="K243" s="119"/>
      <c r="L243" s="119"/>
      <c r="M243" s="95"/>
      <c r="N243" s="265"/>
      <c r="O243" s="169"/>
      <c r="P243" s="169">
        <v>46</v>
      </c>
      <c r="Q243" s="169"/>
      <c r="R243" s="169"/>
      <c r="S243" s="169"/>
      <c r="T243" s="169">
        <v>44</v>
      </c>
      <c r="U243" s="169"/>
      <c r="V243" s="169"/>
      <c r="W243" s="169"/>
      <c r="X243" s="169"/>
      <c r="Y243" s="169"/>
      <c r="Z243" s="169"/>
      <c r="AA243" s="169"/>
      <c r="AB243" s="169">
        <v>24</v>
      </c>
      <c r="AC243" s="169"/>
      <c r="AD243" s="169"/>
      <c r="AE243" s="263">
        <v>10.99</v>
      </c>
      <c r="AF243" s="296"/>
      <c r="AG243" s="377"/>
      <c r="AH243" s="296"/>
      <c r="AI243" s="377"/>
      <c r="AJ243" s="296" t="s">
        <v>240</v>
      </c>
      <c r="AK243" s="47">
        <f>VLOOKUP(AJ243,Skrogform!$1:$1048576,3,FALSE)</f>
        <v>1</v>
      </c>
      <c r="AL243" s="57">
        <v>10.99</v>
      </c>
      <c r="AM243" s="57">
        <v>7.6</v>
      </c>
      <c r="AN243" s="57">
        <v>2.9</v>
      </c>
      <c r="AO243" s="57">
        <v>2</v>
      </c>
      <c r="AP243" s="57">
        <v>7.8</v>
      </c>
      <c r="AQ243" s="57">
        <v>3</v>
      </c>
      <c r="AR243" s="57"/>
      <c r="AS243" s="281"/>
      <c r="AT243" s="282">
        <f>AS243*7</f>
        <v>0</v>
      </c>
      <c r="AU243" s="281">
        <f>ROUND(Depl*10,-2)</f>
        <v>100</v>
      </c>
      <c r="AV243" s="281">
        <f>ROUND(Depl*10,-2)</f>
        <v>100</v>
      </c>
      <c r="AW243" s="270">
        <f>Depl+Diesel/1000+Vann/1000</f>
        <v>7.9999999999999991</v>
      </c>
      <c r="AX243" s="281"/>
      <c r="AY243" s="98">
        <f>Bredde/(Loa+Lwl)*2</f>
        <v>0.31199569661108123</v>
      </c>
      <c r="AZ243" s="98">
        <f>(Kjøl+Ballast)/Depl</f>
        <v>0.38461538461538464</v>
      </c>
      <c r="BA243" s="288">
        <f>BA$7*((Depl-Kjøl-Ballast-VektMotor/1000-VektAnnet/1000)/Loa/Lwl/Bredde)</f>
        <v>0.85742880223496576</v>
      </c>
      <c r="BB243" s="98">
        <f>BB$7*(Depl/Loa/Lwl/Lwl)</f>
        <v>0.92269440066777075</v>
      </c>
      <c r="BC243" s="178">
        <f>BC$7*(Depl/Loa/Lwl/Bredde)</f>
        <v>0.89381119784000396</v>
      </c>
      <c r="BD243" s="98">
        <f>BD$7*Bredde/(Loa+Lwl)*2</f>
        <v>0.89002643345075094</v>
      </c>
      <c r="BE243" s="98">
        <f>BE$7*(Dypg/Lwl)</f>
        <v>1.4393592677345537</v>
      </c>
      <c r="BF243" s="58"/>
      <c r="BG243" s="296"/>
      <c r="BH243" s="296"/>
      <c r="BI243" s="47">
        <f t="shared" si="1903"/>
        <v>1</v>
      </c>
      <c r="BJ243" s="61"/>
      <c r="BK243" s="61"/>
      <c r="BM243" s="214"/>
      <c r="BN243" s="214" t="str">
        <f>$A243</f>
        <v>FILIBUSTER</v>
      </c>
      <c r="BO243" s="10"/>
      <c r="BP243" s="10"/>
      <c r="BQ243" s="10"/>
      <c r="BR243" s="10"/>
      <c r="BS243" s="52"/>
      <c r="BT243" s="214" t="str">
        <f>$A243</f>
        <v>FILIBUSTER</v>
      </c>
      <c r="BU243" s="10"/>
      <c r="BV243" s="10"/>
      <c r="BW243" s="10"/>
      <c r="BX243" s="10"/>
      <c r="BY243" s="10"/>
      <c r="BZ243" s="10"/>
      <c r="CA243" s="10"/>
      <c r="CB243" s="10"/>
      <c r="CC243" s="10"/>
      <c r="CD243" s="214"/>
      <c r="CE243" s="10"/>
      <c r="CF243" s="214" t="str">
        <f>$A243</f>
        <v>FILIBUSTER</v>
      </c>
      <c r="CG243" s="212"/>
      <c r="CH243" s="212"/>
      <c r="CI243" s="119"/>
      <c r="CJ243" s="212"/>
      <c r="CK243" s="208"/>
      <c r="CL243" s="208" t="s">
        <v>26</v>
      </c>
      <c r="CM243" s="110" t="str">
        <f t="shared" si="1772"/>
        <v>-</v>
      </c>
      <c r="CN243" s="64" t="str">
        <f>IF(SeilBeregnet=0,"-",(SeilBeregnet)^(1/2)*StHfaktor/(Depl+DeplTillegg/1000+Vann/1000+Diesel/1000*0.84)^(1/3))</f>
        <v>-</v>
      </c>
      <c r="CO243" s="64" t="str">
        <f t="shared" si="1759"/>
        <v>-</v>
      </c>
      <c r="CP243" s="64" t="str">
        <f t="shared" si="1760"/>
        <v>-</v>
      </c>
      <c r="CQ243" s="110" t="str">
        <f t="shared" si="1761"/>
        <v>-</v>
      </c>
      <c r="CR243" s="172" t="str">
        <f t="shared" si="1840"/>
        <v>-</v>
      </c>
      <c r="CS243" s="162"/>
      <c r="CT243" s="172" t="str">
        <f t="shared" si="1895"/>
        <v>-</v>
      </c>
      <c r="CU243" s="164"/>
      <c r="CV243" s="195" t="s">
        <v>145</v>
      </c>
      <c r="CW243" s="30" t="s">
        <v>26</v>
      </c>
      <c r="CX243" s="30" t="s">
        <v>26</v>
      </c>
      <c r="CY243" s="30" t="s">
        <v>26</v>
      </c>
      <c r="CZ243" s="153">
        <v>2022</v>
      </c>
      <c r="DA243" s="64" t="str">
        <f t="shared" si="1951"/>
        <v>-</v>
      </c>
      <c r="DB243" s="49">
        <f t="shared" si="1904"/>
        <v>17.391304347826086</v>
      </c>
      <c r="DC243" s="50">
        <f t="shared" si="1905"/>
        <v>0</v>
      </c>
      <c r="DE243" s="110" t="str">
        <f>IF(SeilBeregnet=0,"-",DE$7*(DG:DG+DE$6)*DL:DL*PropF+ErfaringsF+Dyp_F)</f>
        <v>-</v>
      </c>
      <c r="DF243" s="144" t="str">
        <f t="shared" si="1906"/>
        <v>-</v>
      </c>
      <c r="DG243" s="110">
        <f t="shared" ref="DG243:DG265" si="1959">SUM(DH243:DK243)^DG$3+DG$7</f>
        <v>6.1830358459529888</v>
      </c>
      <c r="DH243" s="136">
        <f t="shared" si="1918"/>
        <v>4.3139897434361636</v>
      </c>
      <c r="DI243" s="136">
        <f t="shared" si="1919"/>
        <v>0</v>
      </c>
      <c r="DJ243" s="136">
        <f t="shared" si="1920"/>
        <v>0</v>
      </c>
      <c r="DK243" s="136">
        <f t="shared" si="1921"/>
        <v>1.869046102516825</v>
      </c>
      <c r="DL243" s="110">
        <f t="shared" si="1922"/>
        <v>1.5689827038620388</v>
      </c>
      <c r="DM243" s="136">
        <f t="shared" si="1923"/>
        <v>1.9939475850709263</v>
      </c>
      <c r="DO243" s="110" t="str">
        <f t="shared" si="669"/>
        <v>-</v>
      </c>
      <c r="DP243" s="110" t="str">
        <f t="shared" si="1952"/>
        <v>-</v>
      </c>
      <c r="DR243" s="110" t="str">
        <f t="shared" si="1953"/>
        <v>-</v>
      </c>
      <c r="DS243" s="125" t="str">
        <f t="shared" si="1907"/>
        <v>-</v>
      </c>
      <c r="DT243" s="110" t="str">
        <f t="shared" si="1671"/>
        <v>-</v>
      </c>
      <c r="DU243" s="125" t="str">
        <f t="shared" si="1908"/>
        <v>-</v>
      </c>
      <c r="DV243" s="110">
        <f t="shared" si="1924"/>
        <v>4.3138906779610418</v>
      </c>
      <c r="DW243" s="110">
        <f t="shared" si="1925"/>
        <v>1.8230480925967594</v>
      </c>
      <c r="DX243" s="110">
        <f t="shared" si="1926"/>
        <v>1.577117966679628</v>
      </c>
      <c r="DZ243" s="110" t="str">
        <f t="shared" si="1673"/>
        <v>-</v>
      </c>
      <c r="EB243" s="110">
        <f t="shared" si="1927"/>
        <v>4.3138906779610418</v>
      </c>
      <c r="EC243" s="110">
        <f t="shared" si="1928"/>
        <v>1.8231466333682971</v>
      </c>
      <c r="ED243" s="110">
        <f t="shared" si="1929"/>
        <v>1.8356611806071987</v>
      </c>
      <c r="EE243" s="110" t="str">
        <f t="shared" si="1674"/>
        <v>-</v>
      </c>
      <c r="EG243" s="110">
        <f t="shared" si="1930"/>
        <v>6.8035144945041202</v>
      </c>
      <c r="EH243" s="110">
        <f t="shared" si="1931"/>
        <v>4.3138906779610418</v>
      </c>
      <c r="EI243" s="110">
        <f t="shared" si="1932"/>
        <v>1.577117966679628</v>
      </c>
      <c r="EJ243" s="110">
        <f t="shared" si="1933"/>
        <v>1.5689827038620388</v>
      </c>
      <c r="EK243" s="110" t="str">
        <f>IF(SeilBeregnet=0,"-",EK$7*(EK$4*EM:EM+EK$6)*EP:EP*PropF+ErfaringsF+Dyp_F)</f>
        <v>-</v>
      </c>
      <c r="EM243" s="110">
        <f>IF(SeilBeregnet=0,EM242,(EN:EN*EO:EO)^EM$3)</f>
        <v>2.0849601125448349</v>
      </c>
      <c r="EN243" s="110">
        <f t="shared" si="1934"/>
        <v>4.3138906779610418</v>
      </c>
      <c r="EO243" s="110">
        <f t="shared" si="1935"/>
        <v>1.0076886493928507</v>
      </c>
      <c r="EP243" s="110">
        <f t="shared" si="1936"/>
        <v>1.6028245430280339</v>
      </c>
      <c r="EQ243" s="110" t="str">
        <f>IF(SeilBeregnet=0,"-",EQ$7*(ES:ES+EQ$6)*EV:EV*PropF+ErfaringsF+Dyp_F)</f>
        <v>-</v>
      </c>
      <c r="ES243" s="110">
        <f>(ET:ET*EU:EU)^ES$3</f>
        <v>2.084984052231047</v>
      </c>
      <c r="ET243" s="110">
        <f t="shared" si="1937"/>
        <v>4.3139897434361636</v>
      </c>
      <c r="EU243" s="110">
        <f t="shared" si="1938"/>
        <v>1.0076886493928507</v>
      </c>
      <c r="EV243" s="110">
        <f t="shared" si="1939"/>
        <v>1.6028245430280339</v>
      </c>
      <c r="EW243" s="110" t="str">
        <f>IF(SeilBeregnet=0,"-",EW$7*(EY:EY+EW$6)*FB:FB*PropF+ErfaringsF+Dyp_F)</f>
        <v>-</v>
      </c>
      <c r="EX243" s="144" t="str">
        <f t="shared" si="1909"/>
        <v>-</v>
      </c>
      <c r="EY243" s="110">
        <f>(EZ:EZ*FA:FA)^EY$3</f>
        <v>4.3805822756045165</v>
      </c>
      <c r="EZ243" s="136">
        <f t="shared" si="1940"/>
        <v>4.3139897434361636</v>
      </c>
      <c r="FA243" s="136">
        <f t="shared" si="1941"/>
        <v>1.0154364141151877</v>
      </c>
      <c r="FB243" s="110">
        <f t="shared" si="1942"/>
        <v>0.90133447757400031</v>
      </c>
      <c r="FC243" s="110" t="str">
        <f>IF(SeilBeregnet=0,"-",FC$7*(FE:FE+FC$6)*FI:FI*PropF+ErfaringsF+Dyp_F)</f>
        <v>-</v>
      </c>
      <c r="FD243" s="144" t="str">
        <f t="shared" si="1910"/>
        <v>-</v>
      </c>
      <c r="FE243" s="110">
        <f>(FF:FF+FG:FG+FH:FH)^FE$3+FE$7</f>
        <v>6.6018088431196587</v>
      </c>
      <c r="FF243" s="136">
        <f t="shared" si="1943"/>
        <v>4.3139897434361636</v>
      </c>
      <c r="FG243" s="136">
        <f t="shared" si="1944"/>
        <v>0.91877299716667027</v>
      </c>
      <c r="FH243" s="136">
        <f t="shared" si="1945"/>
        <v>1.869046102516825</v>
      </c>
      <c r="FI243" s="110">
        <f t="shared" si="1946"/>
        <v>1.5689827038620388</v>
      </c>
      <c r="FJ243" s="110" t="str">
        <f>IF(SeilBeregnet=0,"-",FJ$7*(FL:FL+FJ$6)*FO:FO*PropF+ErfaringsF+Dyp_F)</f>
        <v>-</v>
      </c>
      <c r="FK243" s="144" t="str">
        <f t="shared" si="1911"/>
        <v>-</v>
      </c>
      <c r="FL243" s="110">
        <f>(FM:FM*FN:FN)^FL$3</f>
        <v>8.0630457162669202</v>
      </c>
      <c r="FM243" s="136">
        <f t="shared" si="1947"/>
        <v>4.3139897434361636</v>
      </c>
      <c r="FN243" s="136">
        <f t="shared" si="1948"/>
        <v>1.869046102516825</v>
      </c>
      <c r="FO243" s="110">
        <f t="shared" si="1949"/>
        <v>1.5689827038620388</v>
      </c>
      <c r="FQ243" s="374">
        <v>1</v>
      </c>
      <c r="FR243" s="64" t="str">
        <f t="shared" si="1902"/>
        <v>-</v>
      </c>
      <c r="FS243" s="480"/>
      <c r="FT243" s="59"/>
      <c r="FU243" s="475"/>
      <c r="FV243" s="77"/>
      <c r="FW243" s="59"/>
      <c r="FX243" s="59"/>
      <c r="FY243" s="59"/>
      <c r="FZ243" s="59"/>
      <c r="GB243" s="59" t="s">
        <v>522</v>
      </c>
      <c r="GC243" s="475" t="s">
        <v>522</v>
      </c>
      <c r="GD243" s="60" t="s">
        <v>522</v>
      </c>
      <c r="GE243" s="60" t="s">
        <v>522</v>
      </c>
      <c r="GF243" s="60" t="s">
        <v>522</v>
      </c>
      <c r="GG243" s="60" t="s">
        <v>522</v>
      </c>
      <c r="GI243" s="59"/>
      <c r="GJ243" s="59"/>
      <c r="GK243" s="59"/>
      <c r="GL243" s="59"/>
      <c r="GM243" s="59"/>
      <c r="GN243" s="59"/>
      <c r="GO243" s="59"/>
      <c r="GP243" s="59"/>
    </row>
    <row r="244" spans="1:198" ht="15.6" x14ac:dyDescent="0.3">
      <c r="A244" s="62" t="s">
        <v>71</v>
      </c>
      <c r="B244" s="223"/>
      <c r="C244" s="63" t="str">
        <f>C243</f>
        <v>Bermuda</v>
      </c>
      <c r="D244" s="63"/>
      <c r="E244" s="63"/>
      <c r="F244" s="63"/>
      <c r="G244" s="56"/>
      <c r="H244" s="209">
        <f>TBFavrundet</f>
        <v>108.5</v>
      </c>
      <c r="I244" s="65">
        <f>COUNTA(O244:AD244)</f>
        <v>2</v>
      </c>
      <c r="J244" s="228">
        <f>SUM(O244:AD244)</f>
        <v>70</v>
      </c>
      <c r="K244" s="119">
        <f>Seilareal/Depl^0.667/K$7</f>
        <v>1.6262012890306672</v>
      </c>
      <c r="L244" s="119">
        <f>Seilareal/Lwl/Lwl/L$7</f>
        <v>1.8388564576400379</v>
      </c>
      <c r="M244" s="95">
        <f>RiggF</f>
        <v>1</v>
      </c>
      <c r="N244" s="265">
        <f>StHfaktor</f>
        <v>1.0471840350622168</v>
      </c>
      <c r="O244" s="147"/>
      <c r="P244" s="169">
        <v>46</v>
      </c>
      <c r="Q244" s="147"/>
      <c r="R244" s="147"/>
      <c r="S244" s="147"/>
      <c r="T244" s="147"/>
      <c r="U244" s="148"/>
      <c r="V244" s="148"/>
      <c r="W244" s="148"/>
      <c r="X244" s="148"/>
      <c r="Y244" s="147"/>
      <c r="Z244" s="147"/>
      <c r="AA244" s="147"/>
      <c r="AB244" s="169">
        <v>24</v>
      </c>
      <c r="AC244" s="147"/>
      <c r="AD244" s="148"/>
      <c r="AE244" s="260">
        <f>AE243</f>
        <v>10.99</v>
      </c>
      <c r="AF244" s="375">
        <f t="shared" ref="AF244:AH245" si="1960" xml:space="preserve"> AF243</f>
        <v>0</v>
      </c>
      <c r="AG244" s="377"/>
      <c r="AH244" s="375">
        <f t="shared" si="1960"/>
        <v>0</v>
      </c>
      <c r="AI244" s="377"/>
      <c r="AJ244" s="295" t="str">
        <f xml:space="preserve"> AJ243</f>
        <v>Meter</v>
      </c>
      <c r="AK244" s="47">
        <f>VLOOKUP(AJ244,Skrogform!$1:$1048576,3,FALSE)</f>
        <v>1</v>
      </c>
      <c r="AL244" s="66">
        <f t="shared" ref="AL244:AT245" si="1961">AL243</f>
        <v>10.99</v>
      </c>
      <c r="AM244" s="66">
        <f t="shared" si="1961"/>
        <v>7.6</v>
      </c>
      <c r="AN244" s="66">
        <f t="shared" si="1961"/>
        <v>2.9</v>
      </c>
      <c r="AO244" s="66">
        <f t="shared" si="1961"/>
        <v>2</v>
      </c>
      <c r="AP244" s="66">
        <f t="shared" si="1961"/>
        <v>7.8</v>
      </c>
      <c r="AQ244" s="66">
        <f t="shared" si="1961"/>
        <v>3</v>
      </c>
      <c r="AR244" s="66">
        <f t="shared" si="1961"/>
        <v>0</v>
      </c>
      <c r="AS244" s="284">
        <f t="shared" si="1961"/>
        <v>0</v>
      </c>
      <c r="AT244" s="284">
        <f t="shared" si="1961"/>
        <v>0</v>
      </c>
      <c r="AU244" s="284">
        <f t="shared" ref="AU244:AV244" si="1962">AU243</f>
        <v>100</v>
      </c>
      <c r="AV244" s="284">
        <f t="shared" si="1962"/>
        <v>100</v>
      </c>
      <c r="AW244" s="284"/>
      <c r="AX244" s="284">
        <f>AX243</f>
        <v>0</v>
      </c>
      <c r="AY244" s="68"/>
      <c r="AZ244" s="68"/>
      <c r="BA244" s="289"/>
      <c r="BB244" s="68"/>
      <c r="BC244" s="179"/>
      <c r="BD244" s="68"/>
      <c r="BE244" s="68"/>
      <c r="BF244" s="67">
        <f t="shared" ref="BF244:BH245" si="1963" xml:space="preserve"> BF243</f>
        <v>0</v>
      </c>
      <c r="BG244" s="295">
        <f t="shared" si="1963"/>
        <v>0</v>
      </c>
      <c r="BH244" s="295">
        <f t="shared" si="1963"/>
        <v>0</v>
      </c>
      <c r="BI244" s="47">
        <f t="shared" si="1903"/>
        <v>1</v>
      </c>
      <c r="BJ244" s="61"/>
      <c r="BK244" s="61"/>
      <c r="BM244" s="51">
        <f t="shared" ref="BM244:BR245" si="1964">IF(O244=0,0,O244*BM$9)</f>
        <v>0</v>
      </c>
      <c r="BN244" s="51">
        <f t="shared" si="1964"/>
        <v>46</v>
      </c>
      <c r="BO244" s="51">
        <f t="shared" si="1964"/>
        <v>0</v>
      </c>
      <c r="BP244" s="51">
        <f t="shared" si="1964"/>
        <v>0</v>
      </c>
      <c r="BQ244" s="51">
        <f t="shared" si="1964"/>
        <v>0</v>
      </c>
      <c r="BR244" s="51">
        <f t="shared" si="1964"/>
        <v>0</v>
      </c>
      <c r="BS244" s="52">
        <f>IF(COUNT(P244:T244)&gt;1,MINA(P244:T244)*BS$9,0)</f>
        <v>0</v>
      </c>
      <c r="BT244" s="88">
        <f t="shared" ref="BT244:CC245" si="1965">IF(U244=0,0,U244*BT$9)</f>
        <v>0</v>
      </c>
      <c r="BU244" s="88">
        <f t="shared" si="1965"/>
        <v>0</v>
      </c>
      <c r="BV244" s="88">
        <f t="shared" si="1965"/>
        <v>0</v>
      </c>
      <c r="BW244" s="88">
        <f t="shared" si="1965"/>
        <v>0</v>
      </c>
      <c r="BX244" s="88">
        <f t="shared" si="1965"/>
        <v>0</v>
      </c>
      <c r="BY244" s="88">
        <f t="shared" si="1965"/>
        <v>0</v>
      </c>
      <c r="BZ244" s="88">
        <f t="shared" si="1965"/>
        <v>0</v>
      </c>
      <c r="CA244" s="88">
        <f t="shared" si="1965"/>
        <v>24</v>
      </c>
      <c r="CB244" s="88">
        <f t="shared" si="1965"/>
        <v>0</v>
      </c>
      <c r="CC244" s="88">
        <f t="shared" si="1965"/>
        <v>0</v>
      </c>
      <c r="CD244" s="103">
        <f>SUM(BM244:CC244)</f>
        <v>70</v>
      </c>
      <c r="CE244" s="52"/>
      <c r="CF244" s="107">
        <f>J244</f>
        <v>70</v>
      </c>
      <c r="CG244" s="104">
        <f>CD244/CF244</f>
        <v>1</v>
      </c>
      <c r="CH244" s="53">
        <f>Seilareal/Lwl/Lwl</f>
        <v>1.2119113573407203</v>
      </c>
      <c r="CI244" s="119">
        <f>Seilareal/Depl^0.667/K$7</f>
        <v>1.6262012890306672</v>
      </c>
      <c r="CJ244" s="53">
        <f>Seilareal/Lwl/Lwl/SApRS1</f>
        <v>1.8388564576400379</v>
      </c>
      <c r="CK244" s="209"/>
      <c r="CL244" s="209">
        <f>(ROUND(TBF/CL$6,3)*CL$6)*CL$4</f>
        <v>108.5</v>
      </c>
      <c r="CM244" s="110">
        <f t="shared" si="1772"/>
        <v>1.0853584487670087</v>
      </c>
      <c r="CN244" s="64">
        <f>IF(SeilBeregnet=0,"-",(SeilBeregnet)^(1/2)*StHfaktor/(Depl+DeplTillegg/1000+Vann/1000+Diesel/1000*0.84)^(1/3))</f>
        <v>4.3476057949564888</v>
      </c>
      <c r="CO244" s="64">
        <f t="shared" si="1759"/>
        <v>1.7902995318641803</v>
      </c>
      <c r="CP244" s="64">
        <f t="shared" si="1760"/>
        <v>1.6603643426724279</v>
      </c>
      <c r="CQ244" s="110">
        <f t="shared" si="1761"/>
        <v>1.0471840350622168</v>
      </c>
      <c r="CR244" s="172" t="str">
        <f t="shared" si="1840"/>
        <v>-</v>
      </c>
      <c r="CS244" s="163">
        <f>CS243</f>
        <v>0</v>
      </c>
      <c r="CT244" s="172" t="str">
        <f t="shared" si="1895"/>
        <v>-</v>
      </c>
      <c r="CU244" s="163">
        <f>CU243</f>
        <v>0</v>
      </c>
      <c r="CV244" s="195" t="s">
        <v>145</v>
      </c>
      <c r="CW244" s="64">
        <v>1.01</v>
      </c>
      <c r="CX244" s="64">
        <v>0.95</v>
      </c>
      <c r="CY244" s="64">
        <v>1.06</v>
      </c>
      <c r="CZ244" s="154">
        <v>1.0900000000000001</v>
      </c>
      <c r="DA244" s="64">
        <f t="shared" si="1951"/>
        <v>2.4650495680484883</v>
      </c>
      <c r="DB244" s="49">
        <f t="shared" si="1904"/>
        <v>17.391304347826086</v>
      </c>
      <c r="DC244" s="50">
        <f t="shared" si="1905"/>
        <v>0</v>
      </c>
      <c r="DE244" s="110">
        <f>IF(SeilBeregnet=0,"-",DE$7*(DG:DG+DE$6)*DL:DL*PropF+ErfaringsF+Dyp_F)</f>
        <v>1.0339758750909982</v>
      </c>
      <c r="DF244" s="144">
        <f t="shared" si="1906"/>
        <v>-5.1382573676010512</v>
      </c>
      <c r="DG244" s="110">
        <f t="shared" si="1959"/>
        <v>6.1657460587316395</v>
      </c>
      <c r="DH244" s="136">
        <f t="shared" si="1918"/>
        <v>4.2190423903697098</v>
      </c>
      <c r="DI244" s="136">
        <f t="shared" si="1919"/>
        <v>0</v>
      </c>
      <c r="DJ244" s="136">
        <f t="shared" si="1920"/>
        <v>0</v>
      </c>
      <c r="DK244" s="136">
        <f t="shared" si="1921"/>
        <v>1.9467036683619294</v>
      </c>
      <c r="DL244" s="110">
        <f t="shared" si="1922"/>
        <v>1.6603643426724279</v>
      </c>
      <c r="DM244" s="136">
        <f t="shared" si="1923"/>
        <v>2.1329769189683425</v>
      </c>
      <c r="DO244" s="110">
        <f t="shared" si="669"/>
        <v>1.0853584487670087</v>
      </c>
      <c r="DP244" s="110">
        <f t="shared" si="1952"/>
        <v>1.0897868917472382</v>
      </c>
      <c r="DQ244" s="125">
        <f>DP244-DO244</f>
        <v>4.4284429802294856E-3</v>
      </c>
      <c r="DR244" s="110">
        <f t="shared" si="1953"/>
        <v>1.0447964553721807</v>
      </c>
      <c r="DS244" s="125">
        <f t="shared" si="1907"/>
        <v>-4.0561993394828022E-2</v>
      </c>
      <c r="DT244" s="110">
        <f t="shared" ref="DT244:DT265" si="1966">IF(SeilBeregnet=0,"-",DT$7*(DT$4*DV244*DW244*DX244*PropF+DT$6)+ErfaringsF+Dyp_F)</f>
        <v>1.0526283951286917</v>
      </c>
      <c r="DU244" s="125">
        <f t="shared" si="1908"/>
        <v>-3.2730053638317047E-2</v>
      </c>
      <c r="DV244" s="110">
        <f t="shared" si="1924"/>
        <v>4.2187824053271887</v>
      </c>
      <c r="DW244" s="110">
        <f t="shared" si="1925"/>
        <v>1.9659622317285537</v>
      </c>
      <c r="DX244" s="110">
        <f t="shared" si="1926"/>
        <v>1.5911837978915342</v>
      </c>
      <c r="DZ244" s="110">
        <f t="shared" ref="DZ244:DZ265" si="1967">IF(SeilBeregnet=0,"-",DZ$7*(DZ$4*EB244*EC244*ED244*PropF+DZ$6)+ErfaringsF+Dyp_F)</f>
        <v>1.0423096319877789</v>
      </c>
      <c r="EB244" s="110">
        <f t="shared" si="1927"/>
        <v>4.2187824053271887</v>
      </c>
      <c r="EC244" s="110">
        <f t="shared" si="1928"/>
        <v>1.9660818532533053</v>
      </c>
      <c r="ED244" s="110">
        <f t="shared" si="1929"/>
        <v>1.8575202967688924</v>
      </c>
      <c r="EE244" s="110">
        <f t="shared" ref="EE244:EE265" si="1968">IF(SeilBeregnet=0,"-",EE$7*(EE$4*EG244+EE$6)*EJ244*PropF+ErfaringsF+Dyp_F)</f>
        <v>1.0414951829141226</v>
      </c>
      <c r="EG244" s="110">
        <f t="shared" si="1930"/>
        <v>6.7128582101864982</v>
      </c>
      <c r="EH244" s="110">
        <f t="shared" si="1931"/>
        <v>4.2187824053271887</v>
      </c>
      <c r="EI244" s="110">
        <f t="shared" si="1932"/>
        <v>1.5911837978915342</v>
      </c>
      <c r="EJ244" s="110">
        <f t="shared" si="1933"/>
        <v>1.6603643426724279</v>
      </c>
      <c r="EK244" s="110">
        <f>IF(SeilBeregnet=0,"-",EK$7*(EK$4*EM:EM+EK$6)*EP:EP*PropF+ErfaringsF+Dyp_F)</f>
        <v>1.0450759111709453</v>
      </c>
      <c r="EM244" s="110">
        <f>IF(SeilBeregnet=0,EM243,(EN:EN*EO:EO)^EM$3)</f>
        <v>2.0710225646239682</v>
      </c>
      <c r="EN244" s="110">
        <f t="shared" si="1934"/>
        <v>4.2187824053271887</v>
      </c>
      <c r="EO244" s="110">
        <f t="shared" si="1935"/>
        <v>1.0166759152511904</v>
      </c>
      <c r="EP244" s="110">
        <f t="shared" si="1936"/>
        <v>1.7133221251981199</v>
      </c>
      <c r="EQ244" s="110">
        <f>IF(SeilBeregnet=0,"-",EQ$7*(ES:ES+EQ$6)*EV:EV*PropF+ErfaringsF+Dyp_F)</f>
        <v>0.970990985663572</v>
      </c>
      <c r="ES244" s="110">
        <f>(ET:ET*EU:EU)^ES$3</f>
        <v>2.071086377656107</v>
      </c>
      <c r="ET244" s="110">
        <f t="shared" si="1937"/>
        <v>4.2190423903697098</v>
      </c>
      <c r="EU244" s="110">
        <f t="shared" si="1938"/>
        <v>1.0166759152511904</v>
      </c>
      <c r="EV244" s="110">
        <f t="shared" si="1939"/>
        <v>1.7133221251981199</v>
      </c>
      <c r="EW244" s="110">
        <f>IF(SeilBeregnet=0,"-",EW$7*(EY:EY+EW$6)*FB:FB*PropF+ErfaringsF+Dyp_F)</f>
        <v>1.0479863911509477</v>
      </c>
      <c r="EX244" s="144">
        <f t="shared" si="1909"/>
        <v>-3.7372057616060994</v>
      </c>
      <c r="EY244" s="110">
        <f>(EZ:EZ*FA:FA)^EY$3</f>
        <v>4.3609284343084456</v>
      </c>
      <c r="EZ244" s="136">
        <f t="shared" si="1940"/>
        <v>4.2190423903697098</v>
      </c>
      <c r="FA244" s="136">
        <f t="shared" si="1941"/>
        <v>1.0336299166518454</v>
      </c>
      <c r="FB244" s="110">
        <f t="shared" si="1942"/>
        <v>0.96347183436185602</v>
      </c>
      <c r="FC244" s="110">
        <f>IF(SeilBeregnet=0,"-",FC$7*(FE:FE+FC$6)*FI:FI*PropF+ErfaringsF+Dyp_F)</f>
        <v>1.0785643642380933</v>
      </c>
      <c r="FD244" s="144">
        <f t="shared" si="1910"/>
        <v>-0.67940845289153895</v>
      </c>
      <c r="FE244" s="110">
        <f>(FF:FF+FG:FG+FH:FH)^FE$3+FE$7</f>
        <v>6.7666145146975287</v>
      </c>
      <c r="FF244" s="136">
        <f t="shared" si="1943"/>
        <v>4.2190423903697098</v>
      </c>
      <c r="FG244" s="136">
        <f t="shared" si="1944"/>
        <v>1.100868455965889</v>
      </c>
      <c r="FH244" s="136">
        <f t="shared" si="1945"/>
        <v>1.9467036683619294</v>
      </c>
      <c r="FI244" s="110">
        <f t="shared" si="1946"/>
        <v>1.6603643426724279</v>
      </c>
      <c r="FJ244" s="110">
        <f>IF(SeilBeregnet=0,"-",FJ$7*(FL:FL+FJ$6)*FO:FO*PropF+ErfaringsF+Dyp_F)</f>
        <v>1.0544769973053729</v>
      </c>
      <c r="FK244" s="144">
        <f t="shared" si="1911"/>
        <v>-3.0881451461635789</v>
      </c>
      <c r="FL244" s="110">
        <f>(FM:FM*FN:FN)^FL$3</f>
        <v>8.2132252983071972</v>
      </c>
      <c r="FM244" s="136">
        <f t="shared" si="1947"/>
        <v>4.2190423903697098</v>
      </c>
      <c r="FN244" s="136">
        <f t="shared" si="1948"/>
        <v>1.9467036683619294</v>
      </c>
      <c r="FO244" s="110">
        <f t="shared" si="1949"/>
        <v>1.6603643426724279</v>
      </c>
      <c r="FQ244" s="374">
        <v>1</v>
      </c>
      <c r="FR244" s="64">
        <f t="shared" si="1902"/>
        <v>1.2887062509235121</v>
      </c>
      <c r="FS244" s="479"/>
      <c r="FT244" s="18"/>
      <c r="FU244" s="481"/>
      <c r="FV244" s="504"/>
      <c r="FW244" s="18"/>
      <c r="FX244" s="18"/>
      <c r="FY244" s="18"/>
      <c r="FZ244" s="18"/>
      <c r="GB244" s="18"/>
      <c r="GC244" s="481"/>
      <c r="GD244" s="8"/>
      <c r="GE244" s="8"/>
      <c r="GF244" s="8"/>
      <c r="GG244" s="8"/>
      <c r="GI244" s="18"/>
      <c r="GJ244" s="18"/>
      <c r="GK244" s="18"/>
      <c r="GL244" s="18"/>
      <c r="GM244" s="18"/>
      <c r="GN244" s="18"/>
      <c r="GO244" s="18"/>
      <c r="GP244" s="18"/>
    </row>
    <row r="245" spans="1:198" ht="15.6" x14ac:dyDescent="0.3">
      <c r="A245" s="62" t="s">
        <v>259</v>
      </c>
      <c r="B245" s="223"/>
      <c r="C245" s="14" t="str">
        <f>C243</f>
        <v>Bermuda</v>
      </c>
      <c r="G245" s="56"/>
      <c r="H245" s="209">
        <f>TBFavrundet</f>
        <v>107.5</v>
      </c>
      <c r="I245" s="65">
        <f>COUNTA(O245:AD245)</f>
        <v>2</v>
      </c>
      <c r="J245" s="228">
        <f>SUM(O245:AD245)</f>
        <v>68</v>
      </c>
      <c r="K245" s="119">
        <f>Seilareal/Depl^0.667/K$7</f>
        <v>1.5797383950583623</v>
      </c>
      <c r="L245" s="119">
        <f>Seilareal/Lwl/Lwl/L$7</f>
        <v>1.7863177017074654</v>
      </c>
      <c r="M245" s="95">
        <f>RiggF</f>
        <v>1</v>
      </c>
      <c r="N245" s="265">
        <f>StHfaktor</f>
        <v>1.0471840350622168</v>
      </c>
      <c r="O245" s="147"/>
      <c r="P245" s="147"/>
      <c r="Q245" s="147"/>
      <c r="R245" s="147"/>
      <c r="S245" s="147"/>
      <c r="T245" s="169">
        <v>44</v>
      </c>
      <c r="U245" s="148"/>
      <c r="V245" s="148"/>
      <c r="W245" s="148"/>
      <c r="X245" s="148"/>
      <c r="Y245" s="147"/>
      <c r="Z245" s="147"/>
      <c r="AA245" s="147"/>
      <c r="AB245" s="169">
        <v>24</v>
      </c>
      <c r="AC245" s="147"/>
      <c r="AD245" s="148"/>
      <c r="AE245" s="260">
        <f>AE244</f>
        <v>10.99</v>
      </c>
      <c r="AF245" s="375">
        <f t="shared" si="1960"/>
        <v>0</v>
      </c>
      <c r="AG245" s="377"/>
      <c r="AH245" s="375">
        <f t="shared" si="1960"/>
        <v>0</v>
      </c>
      <c r="AI245" s="377"/>
      <c r="AJ245" s="295" t="str">
        <f xml:space="preserve"> AJ244</f>
        <v>Meter</v>
      </c>
      <c r="AK245" s="47">
        <f>VLOOKUP(AJ245,Skrogform!$1:$1048576,3,FALSE)</f>
        <v>1</v>
      </c>
      <c r="AL245" s="66">
        <f t="shared" si="1961"/>
        <v>10.99</v>
      </c>
      <c r="AM245" s="66">
        <f t="shared" si="1961"/>
        <v>7.6</v>
      </c>
      <c r="AN245" s="66">
        <f t="shared" si="1961"/>
        <v>2.9</v>
      </c>
      <c r="AO245" s="66">
        <f t="shared" si="1961"/>
        <v>2</v>
      </c>
      <c r="AP245" s="66">
        <f t="shared" si="1961"/>
        <v>7.8</v>
      </c>
      <c r="AQ245" s="66">
        <f t="shared" si="1961"/>
        <v>3</v>
      </c>
      <c r="AR245" s="66">
        <f t="shared" si="1961"/>
        <v>0</v>
      </c>
      <c r="AS245" s="284">
        <f t="shared" si="1961"/>
        <v>0</v>
      </c>
      <c r="AT245" s="284">
        <f t="shared" si="1961"/>
        <v>0</v>
      </c>
      <c r="AU245" s="284">
        <f t="shared" ref="AU245:AV245" si="1969">AU244</f>
        <v>100</v>
      </c>
      <c r="AV245" s="284">
        <f t="shared" si="1969"/>
        <v>100</v>
      </c>
      <c r="AW245" s="284"/>
      <c r="AX245" s="284">
        <f>AX244</f>
        <v>0</v>
      </c>
      <c r="AY245" s="68"/>
      <c r="AZ245" s="68"/>
      <c r="BA245" s="289"/>
      <c r="BB245" s="68"/>
      <c r="BC245" s="179"/>
      <c r="BD245" s="68"/>
      <c r="BE245" s="68"/>
      <c r="BF245" s="67">
        <f t="shared" si="1963"/>
        <v>0</v>
      </c>
      <c r="BG245" s="295">
        <f t="shared" si="1963"/>
        <v>0</v>
      </c>
      <c r="BH245" s="295">
        <f t="shared" si="1963"/>
        <v>0</v>
      </c>
      <c r="BI245" s="47">
        <f t="shared" si="1903"/>
        <v>1</v>
      </c>
      <c r="BJ245" s="61"/>
      <c r="BK245" s="61"/>
      <c r="BM245" s="51">
        <f t="shared" si="1964"/>
        <v>0</v>
      </c>
      <c r="BN245" s="51">
        <f t="shared" si="1964"/>
        <v>0</v>
      </c>
      <c r="BO245" s="51">
        <f t="shared" si="1964"/>
        <v>0</v>
      </c>
      <c r="BP245" s="51">
        <f t="shared" si="1964"/>
        <v>0</v>
      </c>
      <c r="BQ245" s="51">
        <f t="shared" si="1964"/>
        <v>0</v>
      </c>
      <c r="BR245" s="51">
        <f t="shared" si="1964"/>
        <v>44</v>
      </c>
      <c r="BS245" s="52">
        <f>IF(COUNT(P245:T245)&gt;1,MINA(P245:T245)*BS$9,0)</f>
        <v>0</v>
      </c>
      <c r="BT245" s="88">
        <f t="shared" si="1965"/>
        <v>0</v>
      </c>
      <c r="BU245" s="88">
        <f t="shared" si="1965"/>
        <v>0</v>
      </c>
      <c r="BV245" s="88">
        <f t="shared" si="1965"/>
        <v>0</v>
      </c>
      <c r="BW245" s="88">
        <f t="shared" si="1965"/>
        <v>0</v>
      </c>
      <c r="BX245" s="88">
        <f t="shared" si="1965"/>
        <v>0</v>
      </c>
      <c r="BY245" s="88">
        <f t="shared" si="1965"/>
        <v>0</v>
      </c>
      <c r="BZ245" s="88">
        <f t="shared" si="1965"/>
        <v>0</v>
      </c>
      <c r="CA245" s="88">
        <f t="shared" si="1965"/>
        <v>24</v>
      </c>
      <c r="CB245" s="88">
        <f t="shared" si="1965"/>
        <v>0</v>
      </c>
      <c r="CC245" s="88">
        <f t="shared" si="1965"/>
        <v>0</v>
      </c>
      <c r="CD245" s="103">
        <f>SUM(BM245:CC245)</f>
        <v>68</v>
      </c>
      <c r="CE245" s="52"/>
      <c r="CF245" s="107">
        <f>J245</f>
        <v>68</v>
      </c>
      <c r="CG245" s="104">
        <f>CD245/CF245</f>
        <v>1</v>
      </c>
      <c r="CH245" s="53">
        <f>Seilareal/Lwl/Lwl</f>
        <v>1.1772853185595569</v>
      </c>
      <c r="CI245" s="119">
        <f>Seilareal/Depl^0.667/K$7</f>
        <v>1.5797383950583623</v>
      </c>
      <c r="CJ245" s="53">
        <f>Seilareal/Lwl/Lwl/SApRS1</f>
        <v>1.7863177017074654</v>
      </c>
      <c r="CK245" s="209"/>
      <c r="CL245" s="209">
        <f>(ROUND(TBF/CL$6,3)*CL$6)*CL$4</f>
        <v>107.5</v>
      </c>
      <c r="CM245" s="110">
        <f t="shared" si="1772"/>
        <v>1.0742962615881024</v>
      </c>
      <c r="CN245" s="64">
        <f>IF(SeilBeregnet=0,"-",(SeilBeregnet)^(1/2)*StHfaktor/(Depl+DeplTillegg/1000+Vann/1000+Diesel/1000*0.84)^(1/3))</f>
        <v>4.2850470543958652</v>
      </c>
      <c r="CO245" s="64">
        <f t="shared" si="1759"/>
        <v>1.7902995318641803</v>
      </c>
      <c r="CP245" s="64">
        <f t="shared" si="1760"/>
        <v>1.6603643426724279</v>
      </c>
      <c r="CQ245" s="110">
        <f t="shared" si="1761"/>
        <v>1.0471840350622168</v>
      </c>
      <c r="CR245" s="172" t="str">
        <f t="shared" si="1840"/>
        <v>-</v>
      </c>
      <c r="CS245" s="162"/>
      <c r="CT245" s="172" t="str">
        <f t="shared" si="1895"/>
        <v>-</v>
      </c>
      <c r="CU245" s="164"/>
      <c r="CV245" s="195" t="s">
        <v>145</v>
      </c>
      <c r="CW245" s="64">
        <v>1</v>
      </c>
      <c r="CX245" s="64">
        <v>0.94</v>
      </c>
      <c r="CY245" s="64">
        <v>1.05</v>
      </c>
      <c r="CZ245" s="154">
        <v>1.08</v>
      </c>
      <c r="DA245" s="64">
        <f t="shared" si="1951"/>
        <v>2.4650495680484883</v>
      </c>
      <c r="DB245" s="49">
        <f t="shared" si="1904"/>
        <v>17.391304347826086</v>
      </c>
      <c r="DC245" s="50">
        <f t="shared" si="1905"/>
        <v>0</v>
      </c>
      <c r="DE245" s="110">
        <f>IF(SeilBeregnet=0,"-",DE$7*(DG:DG+DE$6)*DL:DL*PropF+ErfaringsF+Dyp_F)</f>
        <v>1.0237952018464098</v>
      </c>
      <c r="DF245" s="144" t="str">
        <f t="shared" si="1906"/>
        <v>-</v>
      </c>
      <c r="DG245" s="110">
        <f t="shared" si="1959"/>
        <v>6.1050372477765178</v>
      </c>
      <c r="DH245" s="136">
        <f t="shared" si="1918"/>
        <v>4.1583335794145881</v>
      </c>
      <c r="DI245" s="136">
        <f t="shared" si="1919"/>
        <v>0</v>
      </c>
      <c r="DJ245" s="136">
        <f t="shared" si="1920"/>
        <v>0</v>
      </c>
      <c r="DK245" s="136">
        <f t="shared" si="1921"/>
        <v>1.9467036683619294</v>
      </c>
      <c r="DL245" s="110">
        <f t="shared" si="1922"/>
        <v>1.6603643426724279</v>
      </c>
      <c r="DM245" s="136">
        <f t="shared" si="1923"/>
        <v>2.1329769189683425</v>
      </c>
      <c r="DO245" s="110">
        <f t="shared" si="669"/>
        <v>1.0742962615881024</v>
      </c>
      <c r="DP245" s="110">
        <f t="shared" si="1952"/>
        <v>1.0769448521897627</v>
      </c>
      <c r="DR245" s="110">
        <f t="shared" si="1953"/>
        <v>1.0345963652456978</v>
      </c>
      <c r="DS245" s="125" t="str">
        <f t="shared" si="1907"/>
        <v>-</v>
      </c>
      <c r="DT245" s="110">
        <f t="shared" si="1966"/>
        <v>1.0407280925092914</v>
      </c>
      <c r="DU245" s="125" t="str">
        <f t="shared" si="1908"/>
        <v>-</v>
      </c>
      <c r="DV245" s="110">
        <f t="shared" si="1924"/>
        <v>4.1580773353590814</v>
      </c>
      <c r="DW245" s="110">
        <f t="shared" si="1925"/>
        <v>1.9659622317285537</v>
      </c>
      <c r="DX245" s="110">
        <f t="shared" si="1926"/>
        <v>1.5911837978915342</v>
      </c>
      <c r="DZ245" s="110">
        <f t="shared" si="1967"/>
        <v>1.0315152435682791</v>
      </c>
      <c r="EB245" s="110">
        <f t="shared" si="1927"/>
        <v>4.1580773353590814</v>
      </c>
      <c r="EC245" s="110">
        <f t="shared" si="1928"/>
        <v>1.9660818532533053</v>
      </c>
      <c r="ED245" s="110">
        <f t="shared" si="1929"/>
        <v>1.8575202967688924</v>
      </c>
      <c r="EE245" s="110">
        <f t="shared" si="1968"/>
        <v>1.0299489070082322</v>
      </c>
      <c r="EG245" s="110">
        <f t="shared" si="1930"/>
        <v>6.6162652864033733</v>
      </c>
      <c r="EH245" s="110">
        <f t="shared" si="1931"/>
        <v>4.1580773353590814</v>
      </c>
      <c r="EI245" s="110">
        <f t="shared" si="1932"/>
        <v>1.5911837978915342</v>
      </c>
      <c r="EJ245" s="110">
        <f t="shared" si="1933"/>
        <v>1.6603643426724279</v>
      </c>
      <c r="EK245" s="110">
        <f>IF(SeilBeregnet=0,"-",EK$7*(EK$4*EM:EM+EK$6)*EP:EP*PropF+ErfaringsF+Dyp_F)</f>
        <v>1.0351280692016267</v>
      </c>
      <c r="EM245" s="110">
        <f>IF(SeilBeregnet=0,EM244,(EN:EN*EO:EO)^EM$3)</f>
        <v>2.0560683550435344</v>
      </c>
      <c r="EN245" s="110">
        <f t="shared" si="1934"/>
        <v>4.1580773353590814</v>
      </c>
      <c r="EO245" s="110">
        <f t="shared" si="1935"/>
        <v>1.0166759152511904</v>
      </c>
      <c r="EP245" s="110">
        <f t="shared" si="1936"/>
        <v>1.7133221251981199</v>
      </c>
      <c r="EQ245" s="110">
        <f>IF(SeilBeregnet=0,"-",EQ$7*(ES:ES+EQ$6)*EV:EV*PropF+ErfaringsF+Dyp_F)</f>
        <v>0.96397976186120771</v>
      </c>
      <c r="ES245" s="110">
        <f>(ET:ET*EU:EU)^ES$3</f>
        <v>2.0561317073016223</v>
      </c>
      <c r="ET245" s="110">
        <f t="shared" si="1937"/>
        <v>4.1583335794145881</v>
      </c>
      <c r="EU245" s="110">
        <f t="shared" si="1938"/>
        <v>1.0166759152511904</v>
      </c>
      <c r="EV245" s="110">
        <f t="shared" si="1939"/>
        <v>1.7133221251981199</v>
      </c>
      <c r="EW245" s="110">
        <f>IF(SeilBeregnet=0,"-",EW$7*(EY:EY+EW$6)*FB:FB*PropF+ErfaringsF+Dyp_F)</f>
        <v>1.0376480244802058</v>
      </c>
      <c r="EX245" s="144" t="str">
        <f t="shared" si="1909"/>
        <v>-</v>
      </c>
      <c r="EY245" s="110">
        <f>(EZ:EZ*FA:FA)^EY$3</f>
        <v>4.2981779911008706</v>
      </c>
      <c r="EZ245" s="136">
        <f t="shared" si="1940"/>
        <v>4.1583335794145881</v>
      </c>
      <c r="FA245" s="136">
        <f t="shared" si="1941"/>
        <v>1.0336299166518454</v>
      </c>
      <c r="FB245" s="110">
        <f t="shared" si="1942"/>
        <v>0.96347183436185602</v>
      </c>
      <c r="FC245" s="110">
        <f>IF(SeilBeregnet=0,"-",FC$7*(FE:FE+FC$6)*FI:FI*PropF+ErfaringsF+Dyp_F)</f>
        <v>1.0663627631234931</v>
      </c>
      <c r="FD245" s="144" t="str">
        <f t="shared" si="1910"/>
        <v>-</v>
      </c>
      <c r="FE245" s="110">
        <f>(FF:FF+FG:FG+FH:FH)^FE$3+FE$7</f>
        <v>6.6900650439916918</v>
      </c>
      <c r="FF245" s="136">
        <f t="shared" si="1943"/>
        <v>4.1583335794145881</v>
      </c>
      <c r="FG245" s="136">
        <f t="shared" si="1944"/>
        <v>1.085027796215174</v>
      </c>
      <c r="FH245" s="136">
        <f t="shared" si="1945"/>
        <v>1.9467036683619294</v>
      </c>
      <c r="FI245" s="110">
        <f t="shared" si="1946"/>
        <v>1.6603643426724279</v>
      </c>
      <c r="FJ245" s="110">
        <f>IF(SeilBeregnet=0,"-",FJ$7*(FL:FL+FJ$6)*FO:FO*PropF+ErfaringsF+Dyp_F)</f>
        <v>1.0442732823995811</v>
      </c>
      <c r="FK245" s="144" t="str">
        <f t="shared" si="1911"/>
        <v>-</v>
      </c>
      <c r="FL245" s="110">
        <f>(FM:FM*FN:FN)^FL$3</f>
        <v>8.0950432333189717</v>
      </c>
      <c r="FM245" s="136">
        <f t="shared" si="1947"/>
        <v>4.1583335794145881</v>
      </c>
      <c r="FN245" s="136">
        <f t="shared" si="1948"/>
        <v>1.9467036683619294</v>
      </c>
      <c r="FO245" s="110">
        <f t="shared" si="1949"/>
        <v>1.6603643426724279</v>
      </c>
      <c r="FQ245" s="374">
        <v>1</v>
      </c>
      <c r="FR245" s="64">
        <f t="shared" si="1902"/>
        <v>1.2792791148547811</v>
      </c>
      <c r="FS245" s="479"/>
      <c r="FT245" s="18"/>
      <c r="FU245" s="481"/>
      <c r="FV245" s="504"/>
      <c r="FW245" s="18"/>
      <c r="FX245" s="18"/>
      <c r="FY245" s="18"/>
      <c r="FZ245" s="18"/>
      <c r="GB245" s="18"/>
      <c r="GC245" s="481"/>
      <c r="GD245" s="8"/>
      <c r="GE245" s="8"/>
      <c r="GF245" s="8"/>
      <c r="GG245" s="8"/>
      <c r="GI245" s="18"/>
      <c r="GJ245" s="18"/>
      <c r="GK245" s="18"/>
      <c r="GL245" s="18"/>
      <c r="GM245" s="18"/>
      <c r="GN245" s="18"/>
      <c r="GO245" s="18"/>
      <c r="GP245" s="18"/>
    </row>
    <row r="246" spans="1:198" ht="15.6" x14ac:dyDescent="0.3">
      <c r="A246" s="54" t="s">
        <v>254</v>
      </c>
      <c r="B246" s="223">
        <f t="shared" ref="B246:B260" si="1970">Loa/0.3048</f>
        <v>55.118110236220474</v>
      </c>
      <c r="C246" s="55" t="s">
        <v>41</v>
      </c>
      <c r="D246" s="55"/>
      <c r="E246" s="55"/>
      <c r="F246" s="55"/>
      <c r="G246" s="56"/>
      <c r="H246" s="209"/>
      <c r="I246" s="126" t="str">
        <f>A246</f>
        <v>MOSK II</v>
      </c>
      <c r="J246" s="229"/>
      <c r="K246" s="119"/>
      <c r="L246" s="119"/>
      <c r="M246" s="95"/>
      <c r="N246" s="265"/>
      <c r="O246" s="169"/>
      <c r="P246" s="169">
        <v>28</v>
      </c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>
        <v>74</v>
      </c>
      <c r="AC246" s="169"/>
      <c r="AD246" s="169"/>
      <c r="AE246" s="263">
        <f>Loa*1.2</f>
        <v>20.16</v>
      </c>
      <c r="AF246" s="296"/>
      <c r="AG246" s="377"/>
      <c r="AH246" s="296"/>
      <c r="AI246" s="377"/>
      <c r="AJ246" s="296" t="s">
        <v>240</v>
      </c>
      <c r="AK246" s="47">
        <f>VLOOKUP(AJ246,Skrogform!$1:$1048576,3,FALSE)</f>
        <v>1</v>
      </c>
      <c r="AL246" s="57">
        <v>16.8</v>
      </c>
      <c r="AM246" s="57">
        <v>9</v>
      </c>
      <c r="AN246" s="57">
        <v>3.02</v>
      </c>
      <c r="AO246" s="57">
        <v>1.9</v>
      </c>
      <c r="AP246" s="57">
        <v>13</v>
      </c>
      <c r="AQ246" s="57"/>
      <c r="AR246" s="57"/>
      <c r="AS246" s="281"/>
      <c r="AT246" s="282">
        <f>AS246*7</f>
        <v>0</v>
      </c>
      <c r="AU246" s="281">
        <f>ROUND(Depl*10,-2)</f>
        <v>100</v>
      </c>
      <c r="AV246" s="281">
        <f>ROUND(Depl*10,-2)</f>
        <v>100</v>
      </c>
      <c r="AW246" s="270">
        <f>Depl+Diesel/1000+Vann/1000</f>
        <v>13.2</v>
      </c>
      <c r="AX246" s="281"/>
      <c r="AY246" s="98">
        <f>Bredde/(Loa+Lwl)*2</f>
        <v>0.23410852713178293</v>
      </c>
      <c r="AZ246" s="98">
        <f>(Kjøl+Ballast)/Depl</f>
        <v>0</v>
      </c>
      <c r="BA246" s="288">
        <f>BA$7*((Depl-Kjøl-Ballast-VektMotor/1000-VektAnnet/1000)/Loa/Lwl/Bredde)</f>
        <v>1.2318298715025118</v>
      </c>
      <c r="BB246" s="98">
        <f>BB$7*(Depl/Loa/Lwl/Lwl)</f>
        <v>0.71736008980311705</v>
      </c>
      <c r="BC246" s="178">
        <f>BC$7*(Depl/Loa/Lwl/Bredde)</f>
        <v>0.79021467267133927</v>
      </c>
      <c r="BD246" s="98">
        <f>BD$7*Bredde/(Loa+Lwl)*2</f>
        <v>0.66783862632324742</v>
      </c>
      <c r="BE246" s="98">
        <f>BE$7*(Dypg/Lwl)</f>
        <v>1.1546859903381643</v>
      </c>
      <c r="BF246" s="58"/>
      <c r="BG246" s="296"/>
      <c r="BH246" s="296"/>
      <c r="BI246" s="47">
        <f t="shared" si="1903"/>
        <v>1</v>
      </c>
      <c r="BJ246" s="61"/>
      <c r="BK246" s="61"/>
      <c r="BM246" s="214"/>
      <c r="BN246" s="214" t="str">
        <f>$A246</f>
        <v>MOSK II</v>
      </c>
      <c r="BO246" s="10"/>
      <c r="BP246" s="10"/>
      <c r="BQ246" s="10"/>
      <c r="BR246" s="10"/>
      <c r="BS246" s="52"/>
      <c r="BT246" s="214" t="str">
        <f>$A246</f>
        <v>MOSK II</v>
      </c>
      <c r="BU246" s="10"/>
      <c r="BV246" s="10"/>
      <c r="BW246" s="10"/>
      <c r="BX246" s="10"/>
      <c r="BY246" s="10"/>
      <c r="BZ246" s="10"/>
      <c r="CA246" s="10">
        <f>IF(AB246=0,0,AB246*CA$9)</f>
        <v>74</v>
      </c>
      <c r="CB246" s="10"/>
      <c r="CC246" s="10"/>
      <c r="CD246" s="214"/>
      <c r="CE246" s="10"/>
      <c r="CF246" s="214" t="str">
        <f>$A246</f>
        <v>MOSK II</v>
      </c>
      <c r="CG246" s="212"/>
      <c r="CH246" s="212"/>
      <c r="CI246" s="119"/>
      <c r="CJ246" s="212"/>
      <c r="CK246" s="208"/>
      <c r="CL246" s="208" t="s">
        <v>26</v>
      </c>
      <c r="CM246" s="110" t="str">
        <f t="shared" si="1772"/>
        <v>-</v>
      </c>
      <c r="CN246" s="64" t="str">
        <f>IF(SeilBeregnet=0,"-",(SeilBeregnet)^(1/2)*StHfaktor/(Depl+DeplTillegg/1000+Vann/1000+Diesel/1000*0.84)^(1/3))</f>
        <v>-</v>
      </c>
      <c r="CO246" s="64" t="str">
        <f t="shared" si="1759"/>
        <v>-</v>
      </c>
      <c r="CP246" s="64" t="str">
        <f t="shared" si="1760"/>
        <v>-</v>
      </c>
      <c r="CQ246" s="110" t="str">
        <f t="shared" si="1761"/>
        <v>-</v>
      </c>
      <c r="CR246" s="172" t="str">
        <f t="shared" si="1840"/>
        <v>-</v>
      </c>
      <c r="CS246" s="162"/>
      <c r="CT246" s="172" t="str">
        <f t="shared" si="1895"/>
        <v>-</v>
      </c>
      <c r="CU246" s="164">
        <v>1.35</v>
      </c>
      <c r="CV246" s="195" t="s">
        <v>145</v>
      </c>
      <c r="CW246" s="30" t="s">
        <v>26</v>
      </c>
      <c r="CX246" s="30" t="s">
        <v>26</v>
      </c>
      <c r="CY246" s="30" t="s">
        <v>26</v>
      </c>
      <c r="CZ246" s="153">
        <v>2022</v>
      </c>
      <c r="DA246" s="64" t="str">
        <f t="shared" si="1951"/>
        <v>-</v>
      </c>
      <c r="DB246" s="49">
        <f t="shared" si="1904"/>
        <v>14.592933947772657</v>
      </c>
      <c r="DC246" s="50">
        <f t="shared" si="1905"/>
        <v>0</v>
      </c>
      <c r="DE246" s="110" t="str">
        <f>IF(SeilBeregnet=0,"-",DE$7*(DG:DG+DE$6)*DL:DL*PropF+ErfaringsF+Dyp_F)</f>
        <v>-</v>
      </c>
      <c r="DF246" s="144" t="str">
        <f t="shared" si="1906"/>
        <v>-</v>
      </c>
      <c r="DG246" s="110">
        <f t="shared" si="1959"/>
        <v>6.654323557003142</v>
      </c>
      <c r="DH246" s="136">
        <f>IF(SeilBeregnet=0,DH262,(SeilBeregnet^0.5/(Depl^0.3333))^DH$3*DH$7)</f>
        <v>4.2179832298025</v>
      </c>
      <c r="DI246" s="136">
        <f>IF(SeilBeregnet=0,DI262,(SeilBeregnet^0.5/Lwl)^DI$3*DI$7)</f>
        <v>0</v>
      </c>
      <c r="DJ246" s="136">
        <f>IF(SeilBeregnet=0,DJ262,(0.1*Loa/Depl^0.3333)^DJ$3*DJ$7)</f>
        <v>0</v>
      </c>
      <c r="DK246" s="136">
        <f>IF(SeilBeregnet=0,DK262,((Loa)/Bredde)^DK$3*DK$7)</f>
        <v>2.4363403272006425</v>
      </c>
      <c r="DL246" s="110">
        <f>IF(SeilBeregnet=0,DL262,(Lwl)^DL$3)</f>
        <v>1.9315671412704052</v>
      </c>
      <c r="DM246" s="136">
        <f>IF(SeilBeregnet=0,DM262,(Dypg/Loa)^DM$3*5*DM$7)</f>
        <v>1.8470962903655979</v>
      </c>
      <c r="DO246" s="110" t="str">
        <f t="shared" si="669"/>
        <v>-</v>
      </c>
      <c r="DP246" s="110" t="str">
        <f t="shared" si="1952"/>
        <v>-</v>
      </c>
      <c r="DR246" s="110" t="str">
        <f t="shared" si="1953"/>
        <v>-</v>
      </c>
      <c r="DS246" s="125" t="str">
        <f t="shared" si="1907"/>
        <v>-</v>
      </c>
      <c r="DT246" s="110" t="str">
        <f t="shared" si="1966"/>
        <v>-</v>
      </c>
      <c r="DU246" s="125" t="str">
        <f t="shared" si="1908"/>
        <v>-</v>
      </c>
      <c r="DV246" s="110">
        <f>IF(SeilBeregnet=0,DV262,SeilBeregnet^0.5/Depl^0.33333)</f>
        <v>4.2175408066992262</v>
      </c>
      <c r="DW246" s="110">
        <f>IF(SeilBeregnet=0,DW262,Lwl^0.3333)</f>
        <v>2.4053316014652082</v>
      </c>
      <c r="DX246" s="110">
        <f>IF(SeilBeregnet=0,DX262,((Loa+Lwl)/Bredde)^DX$3)</f>
        <v>1.7704038094864074</v>
      </c>
      <c r="DZ246" s="110" t="str">
        <f t="shared" si="1967"/>
        <v>-</v>
      </c>
      <c r="EB246" s="110">
        <f>IF(SeilBeregnet=0,EB262,SeilBeregnet^0.5/Depl^0.33333)</f>
        <v>4.2175408066992262</v>
      </c>
      <c r="EC246" s="110">
        <f>IF(SeilBeregnet=0,EC262,Lwl^EC$3)</f>
        <v>2.4055216296858064</v>
      </c>
      <c r="ED246" s="110">
        <f>IF(SeilBeregnet=0,ED262,((Loa+Lwl)/Bredde)^ED$3)</f>
        <v>2.1415589697189774</v>
      </c>
      <c r="EE246" s="110" t="str">
        <f t="shared" si="1968"/>
        <v>-</v>
      </c>
      <c r="EG246" s="110">
        <f>IF(SeilBeregnet=0,EG262,(EH246*EI246)^EG$3)</f>
        <v>7.4667503108446862</v>
      </c>
      <c r="EH246" s="110">
        <f>IF(SeilBeregnet=0,EH262,SeilBeregnet^0.5/Depl^0.33333)</f>
        <v>4.2175408066992262</v>
      </c>
      <c r="EI246" s="110">
        <f>IF(SeilBeregnet=0,EI262,((Loa+Lwl)/Bredde)^EI$3)</f>
        <v>1.7704038094864074</v>
      </c>
      <c r="EJ246" s="110">
        <f>IF(SeilBeregnet=0,EJ262,Lwl^EJ$3)</f>
        <v>1.9315671412704052</v>
      </c>
      <c r="EK246" s="110" t="str">
        <f>IF(SeilBeregnet=0,"-",EK$7*(EK$4*EM:EM+EK$6)*EP:EP*PropF+ErfaringsF+Dyp_F)</f>
        <v>-</v>
      </c>
      <c r="EM246" s="110">
        <f>IF(SeilBeregnet=0,EM262,(EN:EN*EO:EO)^EM$3)</f>
        <v>2.1842226585773998</v>
      </c>
      <c r="EN246" s="110">
        <f>IF(SeilBeregnet=0,EN262,SeilBeregnet^0.5/Depl^0.33333)</f>
        <v>4.2175408066992262</v>
      </c>
      <c r="EO246" s="110">
        <f>IF(SeilBeregnet=0,EO262,((Loa+Lwl)/Bredde/6)^EO$3)</f>
        <v>1.1311873058026716</v>
      </c>
      <c r="EP246" s="110">
        <f>IF(SeilBeregnet=0,EP262,(Lwl*0.7+Loa*0.3)^EP$3)</f>
        <v>2.0037084229436135</v>
      </c>
      <c r="EQ246" s="110" t="str">
        <f>IF(SeilBeregnet=0,"-",EQ$7*(ES:ES+EQ$6)*EV:EV*PropF+ErfaringsF+Dyp_F)</f>
        <v>-</v>
      </c>
      <c r="ES246" s="110">
        <f>(ET:ET*EU:EU)^ES$3</f>
        <v>2.1843372188472046</v>
      </c>
      <c r="ET246" s="110">
        <f>IF(SeilBeregnet=0,ET262,SeilBeregnet^0.5/Depl^0.3333)</f>
        <v>4.2179832298025</v>
      </c>
      <c r="EU246" s="110">
        <f>IF(SeilBeregnet=0,EU262,((Loa+Lwl)/Bredde/6)^EU$3)</f>
        <v>1.1311873058026716</v>
      </c>
      <c r="EV246" s="110">
        <f>IF(SeilBeregnet=0,EV262,(Lwl*0.7+Loa*0.3)^EV$3)</f>
        <v>2.0037084229436135</v>
      </c>
      <c r="EW246" s="110" t="str">
        <f>IF(SeilBeregnet=0,"-",EW$7*(EY:EY+EW$6)*FB:FB*PropF+ErfaringsF+Dyp_F)</f>
        <v>-</v>
      </c>
      <c r="EX246" s="144" t="str">
        <f t="shared" si="1909"/>
        <v>-</v>
      </c>
      <c r="EY246" s="110">
        <f>(EZ:EZ*FA:FA)^EY$3</f>
        <v>5.3972668934843258</v>
      </c>
      <c r="EZ246" s="136">
        <f>IF(SeilBeregnet=0,EZ262,(SeilBeregnet^0.5/(Depl^0.3333))^EZ$3)</f>
        <v>4.2179832298025</v>
      </c>
      <c r="FA246" s="136">
        <f>IF(SeilBeregnet=0,FA262,((Loa+Lwl)/Bredde/6)^FA$3)</f>
        <v>1.2795847208091067</v>
      </c>
      <c r="FB246" s="110">
        <f>IF(SeilBeregnet=0,FB262,(Lwl*0.07+Loa*0.03)^FB$3)</f>
        <v>1.126768049853176</v>
      </c>
      <c r="FC246" s="110" t="str">
        <f>IF(SeilBeregnet=0,"-",FC$7*(FE:FE+FC$6)*FI:FI*PropF+ErfaringsF+Dyp_F)</f>
        <v>-</v>
      </c>
      <c r="FD246" s="144" t="str">
        <f t="shared" si="1910"/>
        <v>-</v>
      </c>
      <c r="FE246" s="110">
        <f>(FF:FF+FG:FG+FH:FH)^FE$3+FE$7</f>
        <v>7.1261446244218689</v>
      </c>
      <c r="FF246" s="136">
        <f>IF(SeilBeregnet=0,FF262,(SeilBeregnet^0.5/(Depl^0.3333))^FF$3)</f>
        <v>4.2179832298025</v>
      </c>
      <c r="FG246" s="136">
        <f>IF(SeilBeregnet=0,FG262,(SeilBeregnet^0.5/Lwl*FG$7)^FG$3)</f>
        <v>0.9718210674187272</v>
      </c>
      <c r="FH246" s="136">
        <f>IF(SeilBeregnet=0,FH262,((Loa)/Bredde)^FH$3*FH$7)</f>
        <v>2.4363403272006425</v>
      </c>
      <c r="FI246" s="110">
        <f>IF(SeilBeregnet=0,FI262,(Lwl)^FI$3)</f>
        <v>1.9315671412704052</v>
      </c>
      <c r="FJ246" s="110" t="str">
        <f>IF(SeilBeregnet=0,"-",FJ$7*(FL:FL+FJ$6)*FO:FO*PropF+ErfaringsF+Dyp_F)</f>
        <v>-</v>
      </c>
      <c r="FK246" s="144" t="str">
        <f t="shared" si="1911"/>
        <v>-</v>
      </c>
      <c r="FL246" s="110">
        <f>(FM:FM*FN:FN)^FL$3</f>
        <v>10.276442642223845</v>
      </c>
      <c r="FM246" s="136">
        <f>IF(SeilBeregnet=0,FM262,(SeilBeregnet^0.5/(Depl^0.3333))^FM$3)</f>
        <v>4.2179832298025</v>
      </c>
      <c r="FN246" s="136">
        <f>IF(SeilBeregnet=0,FN262,(Loa/Bredde)^FN$3)</f>
        <v>2.4363403272006425</v>
      </c>
      <c r="FO246" s="110">
        <f>IF(SeilBeregnet=0,FO262,Lwl^FO$3)</f>
        <v>1.9315671412704052</v>
      </c>
      <c r="FQ246" s="374">
        <v>1</v>
      </c>
      <c r="FR246" s="64" t="str">
        <f t="shared" si="1902"/>
        <v>-</v>
      </c>
      <c r="FS246" s="480"/>
      <c r="FT246" s="59"/>
      <c r="FU246" s="475"/>
      <c r="FV246" s="77"/>
      <c r="FW246" s="59"/>
      <c r="FX246" s="59"/>
      <c r="FY246" s="59"/>
      <c r="FZ246" s="59"/>
      <c r="GB246" s="59" t="s">
        <v>522</v>
      </c>
      <c r="GC246" s="475" t="s">
        <v>522</v>
      </c>
      <c r="GD246" s="60" t="s">
        <v>522</v>
      </c>
      <c r="GE246" s="60" t="s">
        <v>522</v>
      </c>
      <c r="GF246" s="60" t="s">
        <v>522</v>
      </c>
      <c r="GG246" s="60" t="s">
        <v>522</v>
      </c>
      <c r="GI246" s="59"/>
      <c r="GJ246" s="59"/>
      <c r="GK246" s="59"/>
      <c r="GL246" s="59"/>
      <c r="GM246" s="59"/>
      <c r="GN246" s="59"/>
      <c r="GO246" s="59"/>
      <c r="GP246" s="59"/>
    </row>
    <row r="247" spans="1:198" ht="15.6" x14ac:dyDescent="0.3">
      <c r="A247" s="62" t="s">
        <v>71</v>
      </c>
      <c r="B247" s="223"/>
      <c r="C247" s="63" t="str">
        <f>C246</f>
        <v>Bermuda</v>
      </c>
      <c r="D247" s="63"/>
      <c r="E247" s="63"/>
      <c r="F247" s="63"/>
      <c r="G247" s="56"/>
      <c r="H247" s="209">
        <f>TBFavrundet</f>
        <v>125</v>
      </c>
      <c r="I247" s="65">
        <f>COUNTA(O247:AD247)</f>
        <v>2</v>
      </c>
      <c r="J247" s="228">
        <f>SUM(O247:AD247)</f>
        <v>102</v>
      </c>
      <c r="K247" s="119">
        <f>Seilareal/Depl^0.667/K$7</f>
        <v>1.6854012695827292</v>
      </c>
      <c r="L247" s="119">
        <f>Seilareal/Lwl/Lwl/L$7</f>
        <v>1.9106983416782073</v>
      </c>
      <c r="M247" s="95">
        <f>RiggF</f>
        <v>1</v>
      </c>
      <c r="N247" s="265">
        <f>StHfaktor</f>
        <v>1.1060658975904216</v>
      </c>
      <c r="O247" s="147"/>
      <c r="P247" s="169">
        <v>28</v>
      </c>
      <c r="Q247" s="147"/>
      <c r="R247" s="147"/>
      <c r="S247" s="147"/>
      <c r="T247" s="147"/>
      <c r="U247" s="148"/>
      <c r="V247" s="148"/>
      <c r="W247" s="148"/>
      <c r="X247" s="148"/>
      <c r="Y247" s="147"/>
      <c r="Z247" s="147"/>
      <c r="AA247" s="147"/>
      <c r="AB247" s="169">
        <v>74</v>
      </c>
      <c r="AC247" s="147"/>
      <c r="AD247" s="148"/>
      <c r="AE247" s="260">
        <f t="shared" ref="AE247:AE248" si="1971">AE246</f>
        <v>20.16</v>
      </c>
      <c r="AF247" s="375">
        <f t="shared" ref="AF247:AH248" si="1972" xml:space="preserve"> AF246</f>
        <v>0</v>
      </c>
      <c r="AG247" s="377"/>
      <c r="AH247" s="375">
        <f t="shared" si="1972"/>
        <v>0</v>
      </c>
      <c r="AI247" s="377"/>
      <c r="AJ247" s="295" t="str">
        <f xml:space="preserve"> AJ246</f>
        <v>Meter</v>
      </c>
      <c r="AK247" s="47">
        <f>VLOOKUP(AJ247,Skrogform!$1:$1048576,3,FALSE)</f>
        <v>1</v>
      </c>
      <c r="AL247" s="66">
        <f t="shared" ref="AL247:AT247" si="1973">AL246</f>
        <v>16.8</v>
      </c>
      <c r="AM247" s="66">
        <f t="shared" si="1973"/>
        <v>9</v>
      </c>
      <c r="AN247" s="66">
        <f t="shared" si="1973"/>
        <v>3.02</v>
      </c>
      <c r="AO247" s="66">
        <f t="shared" si="1973"/>
        <v>1.9</v>
      </c>
      <c r="AP247" s="66">
        <f t="shared" si="1973"/>
        <v>13</v>
      </c>
      <c r="AQ247" s="66">
        <f t="shared" si="1973"/>
        <v>0</v>
      </c>
      <c r="AR247" s="66">
        <f t="shared" si="1973"/>
        <v>0</v>
      </c>
      <c r="AS247" s="284">
        <f t="shared" si="1973"/>
        <v>0</v>
      </c>
      <c r="AT247" s="284">
        <f t="shared" si="1973"/>
        <v>0</v>
      </c>
      <c r="AU247" s="284">
        <f t="shared" ref="AU247:AV247" si="1974">AU246</f>
        <v>100</v>
      </c>
      <c r="AV247" s="284">
        <f t="shared" si="1974"/>
        <v>100</v>
      </c>
      <c r="AW247" s="284"/>
      <c r="AX247" s="284">
        <f>AX246</f>
        <v>0</v>
      </c>
      <c r="AY247" s="68"/>
      <c r="AZ247" s="68"/>
      <c r="BA247" s="289"/>
      <c r="BB247" s="68"/>
      <c r="BC247" s="179"/>
      <c r="BD247" s="68"/>
      <c r="BE247" s="68"/>
      <c r="BF247" s="67">
        <f t="shared" ref="BF247:BH247" si="1975" xml:space="preserve"> BF246</f>
        <v>0</v>
      </c>
      <c r="BG247" s="295">
        <f t="shared" si="1975"/>
        <v>0</v>
      </c>
      <c r="BH247" s="295">
        <f t="shared" si="1975"/>
        <v>0</v>
      </c>
      <c r="BI247" s="47">
        <f t="shared" si="1903"/>
        <v>1</v>
      </c>
      <c r="BJ247" s="61"/>
      <c r="BK247" s="61"/>
      <c r="BM247" s="51">
        <f t="shared" ref="BM247:BR248" si="1976">IF(O247=0,0,O247*BM$9)</f>
        <v>0</v>
      </c>
      <c r="BN247" s="51">
        <f t="shared" si="1976"/>
        <v>28</v>
      </c>
      <c r="BO247" s="51">
        <f t="shared" si="1976"/>
        <v>0</v>
      </c>
      <c r="BP247" s="51">
        <f t="shared" si="1976"/>
        <v>0</v>
      </c>
      <c r="BQ247" s="51">
        <f t="shared" si="1976"/>
        <v>0</v>
      </c>
      <c r="BR247" s="51">
        <f t="shared" si="1976"/>
        <v>0</v>
      </c>
      <c r="BS247" s="52">
        <f>IF(COUNT(P247:T247)&gt;1,MINA(P247:T247)*BS$9,0)</f>
        <v>0</v>
      </c>
      <c r="BT247" s="88">
        <f t="shared" ref="BT247:BZ248" si="1977">IF(U247=0,0,U247*BT$9)</f>
        <v>0</v>
      </c>
      <c r="BU247" s="88">
        <f t="shared" si="1977"/>
        <v>0</v>
      </c>
      <c r="BV247" s="88">
        <f t="shared" si="1977"/>
        <v>0</v>
      </c>
      <c r="BW247" s="88">
        <f t="shared" si="1977"/>
        <v>0</v>
      </c>
      <c r="BX247" s="88">
        <f t="shared" si="1977"/>
        <v>0</v>
      </c>
      <c r="BY247" s="88">
        <f t="shared" si="1977"/>
        <v>0</v>
      </c>
      <c r="BZ247" s="88">
        <f t="shared" si="1977"/>
        <v>0</v>
      </c>
      <c r="CA247" s="88">
        <f>IF(AB247=0,0,AB247*CA$9)</f>
        <v>74</v>
      </c>
      <c r="CB247" s="88">
        <f>IF(AC247=0,0,AC247*CB$9)</f>
        <v>0</v>
      </c>
      <c r="CC247" s="88">
        <f>IF(AD247=0,0,AD247*CC$9)</f>
        <v>0</v>
      </c>
      <c r="CD247" s="103">
        <f>SUM(BM247:CC247)</f>
        <v>102</v>
      </c>
      <c r="CE247" s="52"/>
      <c r="CF247" s="107">
        <f>J247</f>
        <v>102</v>
      </c>
      <c r="CG247" s="104">
        <f>CD247/CF247</f>
        <v>1</v>
      </c>
      <c r="CH247" s="53">
        <f>Seilareal/Lwl/Lwl</f>
        <v>1.2592592592592593</v>
      </c>
      <c r="CI247" s="119">
        <f>Seilareal/Depl^0.667/K$7</f>
        <v>1.6854012695827292</v>
      </c>
      <c r="CJ247" s="53">
        <f>Seilareal/Lwl/Lwl/SApRS1</f>
        <v>1.9106983416782073</v>
      </c>
      <c r="CK247" s="209"/>
      <c r="CL247" s="209">
        <f>(ROUND(TBF/CL$6,3)*CL$6)*CL$4</f>
        <v>125</v>
      </c>
      <c r="CM247" s="110">
        <f t="shared" si="1772"/>
        <v>1.2491287679667979</v>
      </c>
      <c r="CN247" s="64">
        <f>IF(SeilBeregnet=0,"-",(SeilBeregnet)^(1/2)*StHfaktor/(Depl+DeplTillegg/1000+Vann/1000+Diesel/1000*0.84)^(1/3))</f>
        <v>4.7049221906550516</v>
      </c>
      <c r="CO247" s="64">
        <f t="shared" si="1759"/>
        <v>2.066766358059843</v>
      </c>
      <c r="CP247" s="64">
        <f t="shared" si="1760"/>
        <v>1.7320508075688774</v>
      </c>
      <c r="CQ247" s="110">
        <f t="shared" si="1761"/>
        <v>1.1060658975904216</v>
      </c>
      <c r="CR247" s="172" t="str">
        <f t="shared" si="1840"/>
        <v>-</v>
      </c>
      <c r="CS247" s="163">
        <f>CS246</f>
        <v>0</v>
      </c>
      <c r="CT247" s="172">
        <f t="shared" si="1895"/>
        <v>1.0421052631578949</v>
      </c>
      <c r="CU247" s="163">
        <f>CU246</f>
        <v>1.35</v>
      </c>
      <c r="CV247" s="195" t="s">
        <v>145</v>
      </c>
      <c r="CW247" s="64" t="s">
        <v>111</v>
      </c>
      <c r="CX247" s="64" t="s">
        <v>111</v>
      </c>
      <c r="CY247" s="64" t="s">
        <v>111</v>
      </c>
      <c r="CZ247" s="154" t="s">
        <v>111</v>
      </c>
      <c r="DA247" s="64">
        <f t="shared" si="1951"/>
        <v>2.1887376316819358</v>
      </c>
      <c r="DB247" s="49">
        <f t="shared" si="1904"/>
        <v>14.592933947772657</v>
      </c>
      <c r="DC247" s="50">
        <f t="shared" si="1905"/>
        <v>0</v>
      </c>
      <c r="DE247" s="110">
        <f>IF(SeilBeregnet=0,"-",DE$7*(DG:DG+DE$6)*DL:DL*PropF+ErfaringsF+Dyp_F)</f>
        <v>1.1640618456080998</v>
      </c>
      <c r="DF247" s="144" t="str">
        <f t="shared" si="1906"/>
        <v>-</v>
      </c>
      <c r="DG247" s="110">
        <f t="shared" si="1959"/>
        <v>6.6541724744080089</v>
      </c>
      <c r="DH247" s="136">
        <f>IF(SeilBeregnet=0,DH246,(SeilBeregnet^0.5/(Depl^0.3333))^DH$3*DH$7)</f>
        <v>4.2955894448572645</v>
      </c>
      <c r="DI247" s="136">
        <f>IF(SeilBeregnet=0,DI246,(SeilBeregnet^0.5/Lwl)^DI$3*DI$7)</f>
        <v>0</v>
      </c>
      <c r="DJ247" s="136">
        <f>IF(SeilBeregnet=0,DJ246,(0.1*Loa/Depl^0.3333)^DJ$3*DJ$7)</f>
        <v>0</v>
      </c>
      <c r="DK247" s="136">
        <f>IF(SeilBeregnet=0,DK246,((Loa)/Bredde)^DK$3*DK$7)</f>
        <v>2.3585830295507444</v>
      </c>
      <c r="DL247" s="110">
        <f>IF(SeilBeregnet=0,DL246,(Lwl)^DL$3)</f>
        <v>1.7320508075688774</v>
      </c>
      <c r="DM247" s="136">
        <f>IF(SeilBeregnet=0,DM246,(Dypg/Loa)^DM$3*5*DM$7)</f>
        <v>1.6814817728363731</v>
      </c>
      <c r="DO247" s="110">
        <f t="shared" ref="DO247:DO255" si="1978">IF(SeilBeregnet=0,"-",Skaleringsfaktor*(1*(LBf+SaDeplf)*Lf*PropF+Strikkf2)+ErfaringsF+Dyp_F)</f>
        <v>1.2491287679667979</v>
      </c>
      <c r="DP247" s="110">
        <f t="shared" si="1952"/>
        <v>1.2365423543626275</v>
      </c>
      <c r="DR247" s="110">
        <f t="shared" si="1953"/>
        <v>1.1929331630030253</v>
      </c>
      <c r="DS247" s="125" t="str">
        <f t="shared" si="1907"/>
        <v>-</v>
      </c>
      <c r="DT247" s="110">
        <f t="shared" si="1966"/>
        <v>1.1827484699593835</v>
      </c>
      <c r="DU247" s="125" t="str">
        <f t="shared" si="1908"/>
        <v>-</v>
      </c>
      <c r="DV247" s="110">
        <f>IF(SeilBeregnet=0,DV246,SeilBeregnet^0.5/Depl^0.33333)</f>
        <v>4.2952589184925829</v>
      </c>
      <c r="DW247" s="110">
        <f>IF(SeilBeregnet=0,DW246,Lwl^0.3333)</f>
        <v>2.0799314815874812</v>
      </c>
      <c r="DX247" s="110">
        <f>IF(SeilBeregnet=0,DX246,((Loa+Lwl)/Bredde)^DX$3)</f>
        <v>1.7096341754377391</v>
      </c>
      <c r="DZ247" s="110">
        <f t="shared" si="1967"/>
        <v>1.1813633159745995</v>
      </c>
      <c r="EB247" s="110">
        <f>IF(SeilBeregnet=0,EB246,SeilBeregnet^0.5/Depl^0.33333)</f>
        <v>4.2952589184925829</v>
      </c>
      <c r="EC247" s="110">
        <f>IF(SeilBeregnet=0,EC246,Lwl^EC$3)</f>
        <v>2.0800685884033645</v>
      </c>
      <c r="ED247" s="110">
        <f>IF(SeilBeregnet=0,ED246,((Loa+Lwl)/Bredde)^ED$3)</f>
        <v>2.0441206893288659</v>
      </c>
      <c r="EE247" s="110">
        <f t="shared" si="1968"/>
        <v>1.1650783673254541</v>
      </c>
      <c r="EG247" s="110">
        <f>IF(SeilBeregnet=0,EG246,(EH247*EI247)^EG$3)</f>
        <v>7.3433214394086619</v>
      </c>
      <c r="EH247" s="110">
        <f>IF(SeilBeregnet=0,EH246,SeilBeregnet^0.5/Depl^0.33333)</f>
        <v>4.2952589184925829</v>
      </c>
      <c r="EI247" s="110">
        <f>IF(SeilBeregnet=0,EI246,((Loa+Lwl)/Bredde)^EI$3)</f>
        <v>1.7096341754377391</v>
      </c>
      <c r="EJ247" s="110">
        <f>IF(SeilBeregnet=0,EJ246,Lwl^EJ$3)</f>
        <v>1.7320508075688774</v>
      </c>
      <c r="EK247" s="110">
        <f>IF(SeilBeregnet=0,"-",EK$7*(EK$4*EM:EM+EK$6)*EP:EP*PropF+ErfaringsF+Dyp_F)</f>
        <v>1.1870779508697229</v>
      </c>
      <c r="EM247" s="110">
        <f>IF(SeilBeregnet=0,EM246,(EN:EN*EO:EO)^EM$3)</f>
        <v>2.1660943183467278</v>
      </c>
      <c r="EN247" s="110">
        <f>IF(SeilBeregnet=0,EN246,SeilBeregnet^0.5/Depl^0.33333)</f>
        <v>4.2952589184925829</v>
      </c>
      <c r="EO247" s="110">
        <f>IF(SeilBeregnet=0,EO246,((Loa+Lwl)/Bredde/6)^EO$3)</f>
        <v>1.0923589671797054</v>
      </c>
      <c r="EP247" s="110">
        <f>IF(SeilBeregnet=0,EP246,(Lwl*0.7+Loa*0.3)^EP$3)</f>
        <v>1.8350726547187572</v>
      </c>
      <c r="EQ247" s="110">
        <f>IF(SeilBeregnet=0,"-",EQ$7*(ES:ES+EQ$6)*EV:EV*PropF+ErfaringsF+Dyp_F)</f>
        <v>1.0877404992864215</v>
      </c>
      <c r="ES247" s="110">
        <f>(ET:ET*EU:EU)^ES$3</f>
        <v>2.1661776587833983</v>
      </c>
      <c r="ET247" s="110">
        <f>IF(SeilBeregnet=0,ET246,SeilBeregnet^0.5/Depl^0.3333)</f>
        <v>4.2955894448572645</v>
      </c>
      <c r="EU247" s="110">
        <f>IF(SeilBeregnet=0,EU246,((Loa+Lwl)/Bredde/6)^EU$3)</f>
        <v>1.0923589671797054</v>
      </c>
      <c r="EV247" s="110">
        <f>IF(SeilBeregnet=0,EV246,(Lwl*0.7+Loa*0.3)^EV$3)</f>
        <v>1.8350726547187572</v>
      </c>
      <c r="EW247" s="110">
        <f>IF(SeilBeregnet=0,"-",EW$7*(EY:EY+EW$6)*FB:FB*PropF+ErfaringsF+Dyp_F)</f>
        <v>1.2574107007459667</v>
      </c>
      <c r="EX247" s="144" t="str">
        <f t="shared" si="1909"/>
        <v>-</v>
      </c>
      <c r="EY247" s="110">
        <f>(EZ:EZ*FA:FA)^EY$3</f>
        <v>5.1257040000628891</v>
      </c>
      <c r="EZ247" s="136">
        <f>IF(SeilBeregnet=0,EZ246,(SeilBeregnet^0.5/(Depl^0.3333))^EZ$3)</f>
        <v>4.2955894448572645</v>
      </c>
      <c r="FA247" s="136">
        <f>IF(SeilBeregnet=0,FA246,((Loa+Lwl)/Bredde/6)^FA$3)</f>
        <v>1.1932481131779129</v>
      </c>
      <c r="FB247" s="110">
        <f>IF(SeilBeregnet=0,FB246,(Lwl*0.07+Loa*0.03)^FB$3)</f>
        <v>1.0319371884751178</v>
      </c>
      <c r="FC247" s="110">
        <f>IF(SeilBeregnet=0,"-",FC$7*(FE:FE+FC$6)*FI:FI*PropF+ErfaringsF+Dyp_F)</f>
        <v>1.2098870434398383</v>
      </c>
      <c r="FD247" s="144" t="str">
        <f t="shared" si="1910"/>
        <v>-</v>
      </c>
      <c r="FE247" s="110">
        <f>(FF:FF+FG:FG+FH:FH)^FE$3+FE$7</f>
        <v>7.2763396897815733</v>
      </c>
      <c r="FF247" s="136">
        <f>IF(SeilBeregnet=0,FF246,(SeilBeregnet^0.5/(Depl^0.3333))^FF$3)</f>
        <v>4.2955894448572645</v>
      </c>
      <c r="FG247" s="136">
        <f>IF(SeilBeregnet=0,FG246,(SeilBeregnet^0.5/Lwl*FG$7)^FG$3)</f>
        <v>1.1221672153735642</v>
      </c>
      <c r="FH247" s="136">
        <f>IF(SeilBeregnet=0,FH246,((Loa)/Bredde)^FH$3*FH$7)</f>
        <v>2.3585830295507444</v>
      </c>
      <c r="FI247" s="110">
        <f>IF(SeilBeregnet=0,FI246,(Lwl)^FI$3)</f>
        <v>1.7320508075688774</v>
      </c>
      <c r="FJ247" s="110">
        <f>IF(SeilBeregnet=0,"-",FJ$7*(FL:FL+FJ$6)*FO:FO*PropF+ErfaringsF+Dyp_F)</f>
        <v>1.272777144613483</v>
      </c>
      <c r="FK247" s="144" t="str">
        <f t="shared" si="1911"/>
        <v>-</v>
      </c>
      <c r="FL247" s="110">
        <f>(FM:FM*FN:FN)^FL$3</f>
        <v>10.131504366557648</v>
      </c>
      <c r="FM247" s="136">
        <f>IF(SeilBeregnet=0,FM246,(SeilBeregnet^0.5/(Depl^0.3333))^FM$3)</f>
        <v>4.2955894448572645</v>
      </c>
      <c r="FN247" s="136">
        <f>IF(SeilBeregnet=0,FN246,(Loa/Bredde)^FN$3)</f>
        <v>2.3585830295507444</v>
      </c>
      <c r="FO247" s="110">
        <f>IF(SeilBeregnet=0,FO246,Lwl^FO$3)</f>
        <v>1.7320508075688774</v>
      </c>
      <c r="FQ247" s="374">
        <v>1</v>
      </c>
      <c r="FR247" s="64">
        <f t="shared" si="1902"/>
        <v>1.350316493562278</v>
      </c>
      <c r="FS247" s="479"/>
      <c r="FT247" s="18"/>
      <c r="FU247" s="481"/>
      <c r="FV247" s="504"/>
      <c r="FW247" s="18"/>
      <c r="FX247" s="18"/>
      <c r="FY247" s="18"/>
      <c r="FZ247" s="18"/>
      <c r="GB247" s="18"/>
      <c r="GC247" s="481"/>
      <c r="GD247" s="8"/>
      <c r="GE247" s="8"/>
      <c r="GF247" s="8"/>
      <c r="GG247" s="8"/>
      <c r="GI247" s="18"/>
      <c r="GJ247" s="18"/>
      <c r="GK247" s="18"/>
      <c r="GL247" s="18"/>
      <c r="GM247" s="18"/>
      <c r="GN247" s="18"/>
      <c r="GO247" s="18"/>
      <c r="GP247" s="18"/>
    </row>
    <row r="248" spans="1:198" ht="15.6" x14ac:dyDescent="0.3">
      <c r="A248" s="62"/>
      <c r="B248" s="223"/>
      <c r="C248" s="63" t="str">
        <f t="shared" ref="C248" si="1979">C247</f>
        <v>Bermuda</v>
      </c>
      <c r="D248" s="63"/>
      <c r="E248" s="63"/>
      <c r="F248" s="63"/>
      <c r="G248" s="56"/>
      <c r="H248" s="209">
        <f>TBFavrundet</f>
        <v>125</v>
      </c>
      <c r="I248" s="65">
        <f>COUNTA(O248:AD248)</f>
        <v>2</v>
      </c>
      <c r="J248" s="228">
        <f>SUM(O248:AD248)</f>
        <v>102</v>
      </c>
      <c r="K248" s="119">
        <f>Seilareal/Depl^0.667/K$7</f>
        <v>1.6854012695827292</v>
      </c>
      <c r="L248" s="119">
        <f>Seilareal/Lwl/Lwl/L$7</f>
        <v>1.9106983416782073</v>
      </c>
      <c r="M248" s="95">
        <f>RiggF</f>
        <v>1</v>
      </c>
      <c r="N248" s="265">
        <f>StHfaktor</f>
        <v>1.1060658975904216</v>
      </c>
      <c r="O248" s="147"/>
      <c r="P248" s="169">
        <v>28</v>
      </c>
      <c r="Q248" s="147"/>
      <c r="R248" s="147"/>
      <c r="S248" s="147"/>
      <c r="T248" s="147"/>
      <c r="U248" s="148"/>
      <c r="V248" s="148"/>
      <c r="W248" s="148"/>
      <c r="X248" s="148"/>
      <c r="Y248" s="147"/>
      <c r="Z248" s="147"/>
      <c r="AA248" s="147"/>
      <c r="AB248" s="169">
        <v>74</v>
      </c>
      <c r="AC248" s="147"/>
      <c r="AD248" s="148"/>
      <c r="AE248" s="260">
        <f t="shared" si="1971"/>
        <v>20.16</v>
      </c>
      <c r="AF248" s="375">
        <f t="shared" si="1972"/>
        <v>0</v>
      </c>
      <c r="AG248" s="377"/>
      <c r="AH248" s="375">
        <f t="shared" si="1972"/>
        <v>0</v>
      </c>
      <c r="AI248" s="377"/>
      <c r="AJ248" s="295" t="str">
        <f xml:space="preserve"> AJ247</f>
        <v>Meter</v>
      </c>
      <c r="AK248" s="47">
        <f>VLOOKUP(AJ248,Skrogform!$1:$1048576,3,FALSE)</f>
        <v>1</v>
      </c>
      <c r="AL248" s="66">
        <f t="shared" ref="AL248:AT248" si="1980">AL247</f>
        <v>16.8</v>
      </c>
      <c r="AM248" s="66">
        <f t="shared" si="1980"/>
        <v>9</v>
      </c>
      <c r="AN248" s="66">
        <f t="shared" si="1980"/>
        <v>3.02</v>
      </c>
      <c r="AO248" s="66">
        <f t="shared" si="1980"/>
        <v>1.9</v>
      </c>
      <c r="AP248" s="66">
        <f t="shared" si="1980"/>
        <v>13</v>
      </c>
      <c r="AQ248" s="66">
        <f t="shared" si="1980"/>
        <v>0</v>
      </c>
      <c r="AR248" s="66">
        <f t="shared" si="1980"/>
        <v>0</v>
      </c>
      <c r="AS248" s="284">
        <f t="shared" si="1980"/>
        <v>0</v>
      </c>
      <c r="AT248" s="284">
        <f t="shared" si="1980"/>
        <v>0</v>
      </c>
      <c r="AU248" s="284">
        <f t="shared" ref="AU248:AV248" si="1981">AU247</f>
        <v>100</v>
      </c>
      <c r="AV248" s="284">
        <f t="shared" si="1981"/>
        <v>100</v>
      </c>
      <c r="AW248" s="284"/>
      <c r="AX248" s="284">
        <f>AX247</f>
        <v>0</v>
      </c>
      <c r="AY248" s="68"/>
      <c r="AZ248" s="68"/>
      <c r="BA248" s="289"/>
      <c r="BB248" s="68"/>
      <c r="BC248" s="179"/>
      <c r="BD248" s="68"/>
      <c r="BE248" s="68"/>
      <c r="BF248" s="67">
        <f t="shared" ref="BF248:BH248" si="1982" xml:space="preserve"> BF247</f>
        <v>0</v>
      </c>
      <c r="BG248" s="295">
        <f t="shared" si="1982"/>
        <v>0</v>
      </c>
      <c r="BH248" s="295">
        <f t="shared" si="1982"/>
        <v>0</v>
      </c>
      <c r="BI248" s="47">
        <f t="shared" si="1903"/>
        <v>1</v>
      </c>
      <c r="BJ248" s="61"/>
      <c r="BK248" s="61"/>
      <c r="BM248" s="51">
        <f t="shared" si="1976"/>
        <v>0</v>
      </c>
      <c r="BN248" s="51">
        <f t="shared" si="1976"/>
        <v>28</v>
      </c>
      <c r="BO248" s="51">
        <f t="shared" si="1976"/>
        <v>0</v>
      </c>
      <c r="BP248" s="51">
        <f t="shared" si="1976"/>
        <v>0</v>
      </c>
      <c r="BQ248" s="51">
        <f t="shared" si="1976"/>
        <v>0</v>
      </c>
      <c r="BR248" s="51">
        <f t="shared" si="1976"/>
        <v>0</v>
      </c>
      <c r="BS248" s="52">
        <f>IF(COUNT(P248:T248)&gt;1,MINA(P248:T248)*BS$9,0)</f>
        <v>0</v>
      </c>
      <c r="BT248" s="88">
        <f t="shared" si="1977"/>
        <v>0</v>
      </c>
      <c r="BU248" s="88">
        <f t="shared" si="1977"/>
        <v>0</v>
      </c>
      <c r="BV248" s="88">
        <f t="shared" si="1977"/>
        <v>0</v>
      </c>
      <c r="BW248" s="88">
        <f t="shared" si="1977"/>
        <v>0</v>
      </c>
      <c r="BX248" s="88">
        <f t="shared" si="1977"/>
        <v>0</v>
      </c>
      <c r="BY248" s="88">
        <f t="shared" si="1977"/>
        <v>0</v>
      </c>
      <c r="BZ248" s="88">
        <f t="shared" si="1977"/>
        <v>0</v>
      </c>
      <c r="CA248" s="88">
        <f>IF(AB248=0,0,AB248*CA$9)</f>
        <v>74</v>
      </c>
      <c r="CB248" s="88">
        <f>IF(AC248=0,0,AC248*CB$9)</f>
        <v>0</v>
      </c>
      <c r="CC248" s="88">
        <f>IF(AD248=0,0,AD248*CC$9)</f>
        <v>0</v>
      </c>
      <c r="CD248" s="103">
        <f>SUM(BM248:CC248)</f>
        <v>102</v>
      </c>
      <c r="CE248" s="52"/>
      <c r="CF248" s="107">
        <f>J248</f>
        <v>102</v>
      </c>
      <c r="CG248" s="104">
        <f>CD248/CF248</f>
        <v>1</v>
      </c>
      <c r="CH248" s="53">
        <f>Seilareal/Lwl/Lwl</f>
        <v>1.2592592592592593</v>
      </c>
      <c r="CI248" s="119">
        <f>Seilareal/Depl^0.667/K$7</f>
        <v>1.6854012695827292</v>
      </c>
      <c r="CJ248" s="53">
        <f>Seilareal/Lwl/Lwl/SApRS1</f>
        <v>1.9106983416782073</v>
      </c>
      <c r="CK248" s="209"/>
      <c r="CL248" s="209">
        <f>(ROUND(TBF/CL$6,3)*CL$6)*CL$4</f>
        <v>125</v>
      </c>
      <c r="CM248" s="110">
        <f t="shared" si="1772"/>
        <v>1.2491287679667979</v>
      </c>
      <c r="CN248" s="64">
        <f>IF(SeilBeregnet=0,"-",(SeilBeregnet)^(1/2)*StHfaktor/(Depl+DeplTillegg/1000+Vann/1000+Diesel/1000*0.84)^(1/3))</f>
        <v>4.7049221906550516</v>
      </c>
      <c r="CO248" s="64">
        <f t="shared" si="1759"/>
        <v>2.066766358059843</v>
      </c>
      <c r="CP248" s="64">
        <f t="shared" si="1760"/>
        <v>1.7320508075688774</v>
      </c>
      <c r="CQ248" s="110">
        <f t="shared" si="1761"/>
        <v>1.1060658975904216</v>
      </c>
      <c r="CR248" s="172" t="str">
        <f t="shared" si="1840"/>
        <v>-</v>
      </c>
      <c r="CS248" s="162"/>
      <c r="CT248" s="172" t="str">
        <f t="shared" si="1895"/>
        <v>-</v>
      </c>
      <c r="CU248" s="164"/>
      <c r="CV248" s="195" t="s">
        <v>145</v>
      </c>
      <c r="CW248" s="64" t="s">
        <v>111</v>
      </c>
      <c r="CX248" s="64" t="s">
        <v>111</v>
      </c>
      <c r="CY248" s="64" t="s">
        <v>111</v>
      </c>
      <c r="CZ248" s="154" t="s">
        <v>111</v>
      </c>
      <c r="DA248" s="64">
        <f t="shared" si="1951"/>
        <v>2.1887376316819358</v>
      </c>
      <c r="DB248" s="49">
        <f t="shared" si="1904"/>
        <v>14.592933947772657</v>
      </c>
      <c r="DC248" s="50">
        <f t="shared" si="1905"/>
        <v>0</v>
      </c>
      <c r="DE248" s="110">
        <f>IF(SeilBeregnet=0,"-",DE$7*(DG:DG+DE$6)*DL:DL*PropF+ErfaringsF+Dyp_F)</f>
        <v>1.1640618456080998</v>
      </c>
      <c r="DF248" s="144" t="str">
        <f t="shared" si="1906"/>
        <v>-</v>
      </c>
      <c r="DG248" s="110">
        <f t="shared" si="1959"/>
        <v>6.6541724744080089</v>
      </c>
      <c r="DH248" s="136">
        <f>IF(SeilBeregnet=0,DH247,(SeilBeregnet^0.5/(Depl^0.3333))^DH$3*DH$7)</f>
        <v>4.2955894448572645</v>
      </c>
      <c r="DI248" s="136">
        <f>IF(SeilBeregnet=0,DI247,(SeilBeregnet^0.5/Lwl)^DI$3*DI$7)</f>
        <v>0</v>
      </c>
      <c r="DJ248" s="136">
        <f>IF(SeilBeregnet=0,DJ247,(0.1*Loa/Depl^0.3333)^DJ$3*DJ$7)</f>
        <v>0</v>
      </c>
      <c r="DK248" s="136">
        <f>IF(SeilBeregnet=0,DK247,((Loa)/Bredde)^DK$3*DK$7)</f>
        <v>2.3585830295507444</v>
      </c>
      <c r="DL248" s="110">
        <f>IF(SeilBeregnet=0,DL247,(Lwl)^DL$3)</f>
        <v>1.7320508075688774</v>
      </c>
      <c r="DM248" s="136">
        <f>IF(SeilBeregnet=0,DM247,(Dypg/Loa)^DM$3*5*DM$7)</f>
        <v>1.6814817728363731</v>
      </c>
      <c r="DO248" s="110">
        <f t="shared" si="1978"/>
        <v>1.2491287679667979</v>
      </c>
      <c r="DP248" s="110">
        <f t="shared" si="1952"/>
        <v>1.2365423543626275</v>
      </c>
      <c r="DR248" s="110">
        <f t="shared" si="1953"/>
        <v>1.1929331630030253</v>
      </c>
      <c r="DS248" s="125" t="str">
        <f t="shared" si="1907"/>
        <v>-</v>
      </c>
      <c r="DT248" s="110">
        <f t="shared" si="1966"/>
        <v>1.1827484699593835</v>
      </c>
      <c r="DU248" s="125" t="str">
        <f t="shared" si="1908"/>
        <v>-</v>
      </c>
      <c r="DV248" s="110">
        <f t="shared" ref="DV248" si="1983">IF(SeilBeregnet=0,DV247,SeilBeregnet^0.5/Depl^0.33333)</f>
        <v>4.2952589184925829</v>
      </c>
      <c r="DW248" s="110">
        <f t="shared" ref="DW248" si="1984">IF(SeilBeregnet=0,DW247,Lwl^0.3333)</f>
        <v>2.0799314815874812</v>
      </c>
      <c r="DX248" s="110">
        <f>IF(SeilBeregnet=0,DX247,((Loa+Lwl)/Bredde)^DX$3)</f>
        <v>1.7096341754377391</v>
      </c>
      <c r="DZ248" s="110">
        <f t="shared" si="1967"/>
        <v>1.1813633159745995</v>
      </c>
      <c r="EB248" s="110">
        <f t="shared" ref="EB248" si="1985">IF(SeilBeregnet=0,EB247,SeilBeregnet^0.5/Depl^0.33333)</f>
        <v>4.2952589184925829</v>
      </c>
      <c r="EC248" s="110">
        <f>IF(SeilBeregnet=0,EC247,Lwl^EC$3)</f>
        <v>2.0800685884033645</v>
      </c>
      <c r="ED248" s="110">
        <f>IF(SeilBeregnet=0,ED247,((Loa+Lwl)/Bredde)^ED$3)</f>
        <v>2.0441206893288659</v>
      </c>
      <c r="EE248" s="110">
        <f t="shared" si="1968"/>
        <v>1.1650783673254541</v>
      </c>
      <c r="EG248" s="110">
        <f>IF(SeilBeregnet=0,EG247,(EH248*EI248)^EG$3)</f>
        <v>7.3433214394086619</v>
      </c>
      <c r="EH248" s="110">
        <f t="shared" ref="EH248" si="1986">IF(SeilBeregnet=0,EH247,SeilBeregnet^0.5/Depl^0.33333)</f>
        <v>4.2952589184925829</v>
      </c>
      <c r="EI248" s="110">
        <f>IF(SeilBeregnet=0,EI247,((Loa+Lwl)/Bredde)^EI$3)</f>
        <v>1.7096341754377391</v>
      </c>
      <c r="EJ248" s="110">
        <f>IF(SeilBeregnet=0,EJ247,Lwl^EJ$3)</f>
        <v>1.7320508075688774</v>
      </c>
      <c r="EK248" s="110">
        <f>IF(SeilBeregnet=0,"-",EK$7*(EK$4*EM:EM+EK$6)*EP:EP*PropF+ErfaringsF+Dyp_F)</f>
        <v>1.1870779508697229</v>
      </c>
      <c r="EM248" s="110">
        <f>IF(SeilBeregnet=0,EM247,(EN:EN*EO:EO)^EM$3)</f>
        <v>2.1660943183467278</v>
      </c>
      <c r="EN248" s="110">
        <f t="shared" ref="EN248" si="1987">IF(SeilBeregnet=0,EN247,SeilBeregnet^0.5/Depl^0.33333)</f>
        <v>4.2952589184925829</v>
      </c>
      <c r="EO248" s="110">
        <f>IF(SeilBeregnet=0,EO247,((Loa+Lwl)/Bredde/6)^EO$3)</f>
        <v>1.0923589671797054</v>
      </c>
      <c r="EP248" s="110">
        <f>IF(SeilBeregnet=0,EP247,(Lwl*0.7+Loa*0.3)^EP$3)</f>
        <v>1.8350726547187572</v>
      </c>
      <c r="EQ248" s="110">
        <f>IF(SeilBeregnet=0,"-",EQ$7*(ES:ES+EQ$6)*EV:EV*PropF+ErfaringsF+Dyp_F)</f>
        <v>1.0877404992864215</v>
      </c>
      <c r="ES248" s="110">
        <f>(ET:ET*EU:EU)^ES$3</f>
        <v>2.1661776587833983</v>
      </c>
      <c r="ET248" s="110">
        <f t="shared" ref="ET248" si="1988">IF(SeilBeregnet=0,ET247,SeilBeregnet^0.5/Depl^0.3333)</f>
        <v>4.2955894448572645</v>
      </c>
      <c r="EU248" s="110">
        <f>IF(SeilBeregnet=0,EU247,((Loa+Lwl)/Bredde/6)^EU$3)</f>
        <v>1.0923589671797054</v>
      </c>
      <c r="EV248" s="110">
        <f>IF(SeilBeregnet=0,EV247,(Lwl*0.7+Loa*0.3)^EV$3)</f>
        <v>1.8350726547187572</v>
      </c>
      <c r="EW248" s="110">
        <f>IF(SeilBeregnet=0,"-",EW$7*(EY:EY+EW$6)*FB:FB*PropF+ErfaringsF+Dyp_F)</f>
        <v>1.2574107007459667</v>
      </c>
      <c r="EX248" s="144" t="str">
        <f t="shared" si="1909"/>
        <v>-</v>
      </c>
      <c r="EY248" s="110">
        <f>(EZ:EZ*FA:FA)^EY$3</f>
        <v>5.1257040000628891</v>
      </c>
      <c r="EZ248" s="136">
        <f>IF(SeilBeregnet=0,EZ247,(SeilBeregnet^0.5/(Depl^0.3333))^EZ$3)</f>
        <v>4.2955894448572645</v>
      </c>
      <c r="FA248" s="136">
        <f>IF(SeilBeregnet=0,FA247,((Loa+Lwl)/Bredde/6)^FA$3)</f>
        <v>1.1932481131779129</v>
      </c>
      <c r="FB248" s="110">
        <f>IF(SeilBeregnet=0,FB247,(Lwl*0.07+Loa*0.03)^FB$3)</f>
        <v>1.0319371884751178</v>
      </c>
      <c r="FC248" s="110">
        <f>IF(SeilBeregnet=0,"-",FC$7*(FE:FE+FC$6)*FI:FI*PropF+ErfaringsF+Dyp_F)</f>
        <v>1.2098870434398383</v>
      </c>
      <c r="FD248" s="144" t="str">
        <f t="shared" si="1910"/>
        <v>-</v>
      </c>
      <c r="FE248" s="110">
        <f>(FF:FF+FG:FG+FH:FH)^FE$3+FE$7</f>
        <v>7.2763396897815733</v>
      </c>
      <c r="FF248" s="136">
        <f>IF(SeilBeregnet=0,FF247,(SeilBeregnet^0.5/(Depl^0.3333))^FF$3)</f>
        <v>4.2955894448572645</v>
      </c>
      <c r="FG248" s="136">
        <f>IF(SeilBeregnet=0,FG247,(SeilBeregnet^0.5/Lwl*FG$7)^FG$3)</f>
        <v>1.1221672153735642</v>
      </c>
      <c r="FH248" s="136">
        <f>IF(SeilBeregnet=0,FH247,((Loa)/Bredde)^FH$3*FH$7)</f>
        <v>2.3585830295507444</v>
      </c>
      <c r="FI248" s="110">
        <f>IF(SeilBeregnet=0,FI247,(Lwl)^FI$3)</f>
        <v>1.7320508075688774</v>
      </c>
      <c r="FJ248" s="110">
        <f>IF(SeilBeregnet=0,"-",FJ$7*(FL:FL+FJ$6)*FO:FO*PropF+ErfaringsF+Dyp_F)</f>
        <v>1.272777144613483</v>
      </c>
      <c r="FK248" s="144" t="str">
        <f t="shared" si="1911"/>
        <v>-</v>
      </c>
      <c r="FL248" s="110">
        <f>(FM:FM*FN:FN)^FL$3</f>
        <v>10.131504366557648</v>
      </c>
      <c r="FM248" s="136">
        <f>IF(SeilBeregnet=0,FM247,(SeilBeregnet^0.5/(Depl^0.3333))^FM$3)</f>
        <v>4.2955894448572645</v>
      </c>
      <c r="FN248" s="136">
        <f>IF(SeilBeregnet=0,FN247,(Loa/Bredde)^FN$3)</f>
        <v>2.3585830295507444</v>
      </c>
      <c r="FO248" s="110">
        <f>IF(SeilBeregnet=0,FO247,Lwl^FO$3)</f>
        <v>1.7320508075688774</v>
      </c>
      <c r="FQ248" s="374">
        <v>1</v>
      </c>
      <c r="FR248" s="64">
        <f t="shared" si="1902"/>
        <v>1.350316493562278</v>
      </c>
      <c r="FS248" s="479"/>
      <c r="FT248" s="18"/>
      <c r="FU248" s="481"/>
      <c r="FV248" s="504"/>
      <c r="FW248" s="18"/>
      <c r="FX248" s="18"/>
      <c r="FY248" s="18"/>
      <c r="FZ248" s="18"/>
      <c r="GB248" s="18"/>
      <c r="GC248" s="481"/>
      <c r="GD248" s="8"/>
      <c r="GE248" s="8"/>
      <c r="GF248" s="8"/>
      <c r="GG248" s="8"/>
      <c r="GI248" s="18"/>
      <c r="GJ248" s="18"/>
      <c r="GK248" s="18"/>
      <c r="GL248" s="18"/>
      <c r="GM248" s="18"/>
      <c r="GN248" s="18"/>
      <c r="GO248" s="18"/>
      <c r="GP248" s="18"/>
    </row>
    <row r="249" spans="1:198" ht="15.6" x14ac:dyDescent="0.3">
      <c r="A249" s="54" t="s">
        <v>208</v>
      </c>
      <c r="B249" s="223">
        <f t="shared" ref="B249" si="1989">Loa/0.3048</f>
        <v>44.717847769028872</v>
      </c>
      <c r="C249" s="55" t="s">
        <v>41</v>
      </c>
      <c r="D249" s="55"/>
      <c r="E249" s="55"/>
      <c r="F249" s="55"/>
      <c r="G249" s="56"/>
      <c r="H249" s="209"/>
      <c r="I249" s="126" t="str">
        <f>A249</f>
        <v>Glæden</v>
      </c>
      <c r="J249" s="229"/>
      <c r="K249" s="119"/>
      <c r="L249" s="119"/>
      <c r="M249" s="95"/>
      <c r="N249" s="265"/>
      <c r="O249" s="169"/>
      <c r="P249" s="169">
        <v>52</v>
      </c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>
        <v>41</v>
      </c>
      <c r="AC249" s="169"/>
      <c r="AD249" s="169"/>
      <c r="AE249" s="270">
        <v>14.3</v>
      </c>
      <c r="AF249" s="296"/>
      <c r="AG249" s="377"/>
      <c r="AH249" s="296"/>
      <c r="AI249" s="377"/>
      <c r="AJ249" s="296" t="s">
        <v>240</v>
      </c>
      <c r="AK249" s="47">
        <f>VLOOKUP(AJ249,Skrogform!$1:$1048576,3,FALSE)</f>
        <v>1</v>
      </c>
      <c r="AL249" s="57">
        <v>13.63</v>
      </c>
      <c r="AM249" s="57">
        <v>9.1999999999999993</v>
      </c>
      <c r="AN249" s="57">
        <v>3.1</v>
      </c>
      <c r="AO249" s="57">
        <v>2.4</v>
      </c>
      <c r="AP249" s="57">
        <v>11</v>
      </c>
      <c r="AQ249" s="57">
        <v>5</v>
      </c>
      <c r="AR249" s="57"/>
      <c r="AS249" s="281"/>
      <c r="AT249" s="282">
        <f>AS249*7</f>
        <v>0</v>
      </c>
      <c r="AU249" s="281">
        <f>ROUND(Depl*10,-2)</f>
        <v>100</v>
      </c>
      <c r="AV249" s="281">
        <f>ROUND(Depl*10,-2)</f>
        <v>100</v>
      </c>
      <c r="AW249" s="270">
        <f>Depl+Diesel/1000+Vann/1000</f>
        <v>11.2</v>
      </c>
      <c r="AX249" s="281"/>
      <c r="AY249" s="98">
        <f>Bredde/(Loa+Lwl)*2</f>
        <v>0.27157249233464742</v>
      </c>
      <c r="AZ249" s="98">
        <f>(Kjøl+Ballast)/Depl</f>
        <v>0.45454545454545453</v>
      </c>
      <c r="BA249" s="288">
        <f>BA$7*((Depl-Kjøl-Ballast-VektMotor/1000-VektAnnet/1000)/Loa/Lwl/Bredde)</f>
        <v>0.66783932214303943</v>
      </c>
      <c r="BB249" s="98">
        <f>BB$7*(Depl/Loa/Lwl/Lwl)</f>
        <v>0.71599391937345158</v>
      </c>
      <c r="BC249" s="178">
        <f>BC$7*(Depl/Loa/Lwl/Bredde)</f>
        <v>0.78543053158613929</v>
      </c>
      <c r="BD249" s="98">
        <f>BD$7*Bredde/(Loa+Lwl)*2</f>
        <v>0.77471163673528987</v>
      </c>
      <c r="BE249" s="98">
        <f>BE$7*(Dypg/Lwl)</f>
        <v>1.4268431001890358</v>
      </c>
      <c r="BF249" s="58"/>
      <c r="BG249" s="296"/>
      <c r="BH249" s="296"/>
      <c r="BI249" s="47">
        <f t="shared" si="1903"/>
        <v>1</v>
      </c>
      <c r="BJ249" s="61"/>
      <c r="BK249" s="61"/>
      <c r="BM249" s="214"/>
      <c r="BN249" s="214" t="str">
        <f>$A249</f>
        <v>Glæden</v>
      </c>
      <c r="BO249" s="10"/>
      <c r="BP249" s="10"/>
      <c r="BQ249" s="10"/>
      <c r="BR249" s="10"/>
      <c r="BS249" s="52"/>
      <c r="BT249" s="214" t="str">
        <f>$A249</f>
        <v>Glæden</v>
      </c>
      <c r="BU249" s="10"/>
      <c r="BV249" s="10"/>
      <c r="BW249" s="10"/>
      <c r="BX249" s="10"/>
      <c r="BY249" s="10"/>
      <c r="BZ249" s="10"/>
      <c r="CA249" s="10"/>
      <c r="CB249" s="10"/>
      <c r="CC249" s="10"/>
      <c r="CD249" s="214"/>
      <c r="CE249" s="10"/>
      <c r="CF249" s="214" t="str">
        <f>$A249</f>
        <v>Glæden</v>
      </c>
      <c r="CG249" s="212"/>
      <c r="CH249" s="212"/>
      <c r="CI249" s="119"/>
      <c r="CJ249" s="212"/>
      <c r="CK249" s="208"/>
      <c r="CL249" s="208" t="s">
        <v>26</v>
      </c>
      <c r="CM249" s="110" t="str">
        <f t="shared" si="1772"/>
        <v>-</v>
      </c>
      <c r="CN249" s="64" t="str">
        <f>IF(SeilBeregnet=0,"-",(SeilBeregnet)^(1/2)*StHfaktor/(Depl+DeplTillegg/1000+Vann/1000+Diesel/1000*0.84)^(1/3))</f>
        <v>-</v>
      </c>
      <c r="CO249" s="64" t="str">
        <f t="shared" si="1759"/>
        <v>-</v>
      </c>
      <c r="CP249" s="64" t="str">
        <f t="shared" si="1760"/>
        <v>-</v>
      </c>
      <c r="CQ249" s="110" t="str">
        <f t="shared" si="1761"/>
        <v>-</v>
      </c>
      <c r="CR249" s="172" t="str">
        <f t="shared" si="1840"/>
        <v>-</v>
      </c>
      <c r="CS249" s="162"/>
      <c r="CT249" s="172" t="str">
        <f t="shared" si="1895"/>
        <v>-</v>
      </c>
      <c r="CU249" s="164">
        <v>1.56</v>
      </c>
      <c r="CV249" s="195" t="s">
        <v>145</v>
      </c>
      <c r="CW249" s="30" t="s">
        <v>26</v>
      </c>
      <c r="CX249" s="30" t="s">
        <v>26</v>
      </c>
      <c r="CY249" s="30" t="s">
        <v>26</v>
      </c>
      <c r="CZ249" s="153">
        <v>2022</v>
      </c>
      <c r="DA249" s="64" t="str">
        <f t="shared" si="1951"/>
        <v>-</v>
      </c>
      <c r="DB249" s="49">
        <f t="shared" si="1904"/>
        <v>18.045112781954888</v>
      </c>
      <c r="DC249" s="50">
        <f t="shared" si="1905"/>
        <v>0</v>
      </c>
      <c r="DE249" s="110" t="str">
        <f>IF(SeilBeregnet=0,"-",DE$7*(DG:DG+DE$6)*DL:DL*PropF+ErfaringsF+Dyp_F)</f>
        <v>-</v>
      </c>
      <c r="DF249" s="144" t="str">
        <f t="shared" ref="DF249:DF265" si="1990">IF($DQ249=0,"-",(DE249-$DO249)*100)</f>
        <v>-</v>
      </c>
      <c r="DG249" s="110">
        <f t="shared" si="1959"/>
        <v>0</v>
      </c>
      <c r="DH249" s="136">
        <f>IF(SeilBeregnet=0,DH235,(SeilBeregnet^0.5/(Depl^0.3333))^DH$3*DH$7)</f>
        <v>0</v>
      </c>
      <c r="DI249" s="136">
        <f>IF(SeilBeregnet=0,DI235,(SeilBeregnet^0.5/Lwl)^DI$3*DI$7)</f>
        <v>0</v>
      </c>
      <c r="DJ249" s="136">
        <f>IF(SeilBeregnet=0,DJ235,(0.1*Loa/Depl^0.3333)^DJ$3*DJ$7)</f>
        <v>0</v>
      </c>
      <c r="DK249" s="136">
        <f>IF(SeilBeregnet=0,DK235,((Loa)/Bredde)^DK$3*DK$7)</f>
        <v>0</v>
      </c>
      <c r="DL249" s="110">
        <f>IF(SeilBeregnet=0,DL235,(Lwl)^DL$3)</f>
        <v>0</v>
      </c>
      <c r="DM249" s="136">
        <f>IF(SeilBeregnet=0,DM235,(Dypg/Loa)^DM$3*5*DM$7)</f>
        <v>0</v>
      </c>
      <c r="DO249" s="110" t="str">
        <f t="shared" si="669"/>
        <v>-</v>
      </c>
      <c r="DP249" s="110" t="str">
        <f t="shared" si="1952"/>
        <v>-</v>
      </c>
      <c r="DR249" s="110" t="str">
        <f t="shared" si="1953"/>
        <v>-</v>
      </c>
      <c r="DS249" s="125" t="str">
        <f t="shared" ref="DS249:DS265" si="1991">IF($DQ249=0,"-",DR249-$DO249)</f>
        <v>-</v>
      </c>
      <c r="DT249" s="110" t="str">
        <f t="shared" si="1966"/>
        <v>-</v>
      </c>
      <c r="DU249" s="125" t="str">
        <f t="shared" ref="DU249:DU265" si="1992">IF($DQ249=0,"-",DT249-$DO249)</f>
        <v>-</v>
      </c>
      <c r="DV249" s="110">
        <f>IF(SeilBeregnet=0,DV259,SeilBeregnet^0.5/Depl^0.33333)</f>
        <v>3.7100106576018002</v>
      </c>
      <c r="DW249" s="110">
        <f>IF(SeilBeregnet=0,DW259,Lwl^0.3333)</f>
        <v>2.2034013597348872</v>
      </c>
      <c r="DX249" s="110">
        <f>IF(SeilBeregnet=0,DX259,((Loa+Lwl)/Bredde)^DX$3)</f>
        <v>1.6974975484377828</v>
      </c>
      <c r="DZ249" s="110" t="str">
        <f t="shared" si="1967"/>
        <v>-</v>
      </c>
      <c r="EB249" s="110">
        <f>IF(SeilBeregnet=0,EB259,SeilBeregnet^0.5/Depl^0.33333)</f>
        <v>3.7100106576018002</v>
      </c>
      <c r="EC249" s="110">
        <f>IF(SeilBeregnet=0,EC259,Lwl^EC$3)</f>
        <v>2.2035580432539792</v>
      </c>
      <c r="ED249" s="110">
        <f>IF(SeilBeregnet=0,ED259,((Loa+Lwl)/Bredde)^ED$3)</f>
        <v>2.0247973624437603</v>
      </c>
      <c r="EE249" s="110" t="str">
        <f t="shared" si="1968"/>
        <v>-</v>
      </c>
      <c r="EG249" s="110">
        <f>IF(SeilBeregnet=0,EG259,(EH249*EI249)^EG$3)</f>
        <v>6.2977339959571017</v>
      </c>
      <c r="EH249" s="110">
        <f>IF(SeilBeregnet=0,EH259,SeilBeregnet^0.5/Depl^0.33333)</f>
        <v>3.7100106576018002</v>
      </c>
      <c r="EI249" s="110">
        <f>IF(SeilBeregnet=0,EI259,((Loa+Lwl)/Bredde)^EI$3)</f>
        <v>1.6974975484377828</v>
      </c>
      <c r="EJ249" s="110">
        <f>IF(SeilBeregnet=0,EJ259,Lwl^EJ$3)</f>
        <v>1.808614233815278</v>
      </c>
      <c r="EK249" s="110" t="str">
        <f>IF(SeilBeregnet=0,"-",EK$7*(EK$4*EM:EM+EK$6)*EP:EP*PropF+ErfaringsF+Dyp_F)</f>
        <v>-</v>
      </c>
      <c r="EM249" s="110">
        <f>IF(SeilBeregnet=0,EM259,(EN:EN*EO:EO)^EM$3)</f>
        <v>2.0059645333589806</v>
      </c>
      <c r="EN249" s="110">
        <f>IF(SeilBeregnet=0,EN259,SeilBeregnet^0.5/Depl^0.33333)</f>
        <v>3.7100106576018002</v>
      </c>
      <c r="EO249" s="110">
        <f>IF(SeilBeregnet=0,EO259,((Loa+Lwl)/Bredde/6)^EO$3)</f>
        <v>1.0846043530492742</v>
      </c>
      <c r="EP249" s="110">
        <f>IF(SeilBeregnet=0,EP259,(Lwl*0.7+Loa*0.3)^EP$3)</f>
        <v>1.8803015465431969</v>
      </c>
      <c r="EQ249" s="110" t="str">
        <f>IF(SeilBeregnet=0,"-",EQ$7*(ES:ES+EQ$6)*EV:EV*PropF+ErfaringsF+Dyp_F)</f>
        <v>-</v>
      </c>
      <c r="ES249" s="110">
        <f>(ET:ET*EU:EU)^ES$3</f>
        <v>2.0060497850527437</v>
      </c>
      <c r="ET249" s="110">
        <f>IF(SeilBeregnet=0,ET259,SeilBeregnet^0.5/Depl^0.3333)</f>
        <v>3.7103260085545093</v>
      </c>
      <c r="EU249" s="110">
        <f>IF(SeilBeregnet=0,EU259,((Loa+Lwl)/Bredde/6)^EU$3)</f>
        <v>1.0846043530492742</v>
      </c>
      <c r="EV249" s="110">
        <f>IF(SeilBeregnet=0,EV259,(Lwl*0.7+Loa*0.3)^EV$3)</f>
        <v>1.8803015465431969</v>
      </c>
      <c r="EW249" s="110" t="str">
        <f>IF(SeilBeregnet=0,"-",EW$7*(EY:EY+EW$6)*FB:FB*PropF+ErfaringsF+Dyp_F)</f>
        <v>-</v>
      </c>
      <c r="EX249" s="144" t="str">
        <f t="shared" ref="EX249:EX265" si="1993">IF($DQ249=0,"-",(EW249-$DO249)*100)</f>
        <v>-</v>
      </c>
      <c r="EY249" s="110">
        <f>(EZ:EZ*FA:FA)^EY$3</f>
        <v>4.3647036014199472</v>
      </c>
      <c r="EZ249" s="136">
        <f>IF(SeilBeregnet=0,EZ259,(SeilBeregnet^0.5/(Depl^0.3333))^EZ$3)</f>
        <v>3.7103260085545093</v>
      </c>
      <c r="FA249" s="136">
        <f>IF(SeilBeregnet=0,FA259,((Loa+Lwl)/Bredde/6)^FA$3)</f>
        <v>1.1763666026534347</v>
      </c>
      <c r="FB249" s="110">
        <f>IF(SeilBeregnet=0,FB259,(Lwl*0.07+Loa*0.03)^FB$3)</f>
        <v>1.0573712634405641</v>
      </c>
      <c r="FC249" s="110" t="str">
        <f>IF(SeilBeregnet=0,"-",FC$7*(FE:FE+FC$6)*FI:FI*PropF+ErfaringsF+Dyp_F)</f>
        <v>-</v>
      </c>
      <c r="FD249" s="144" t="str">
        <f t="shared" ref="FD249:FD265" si="1994">IF($DQ249=0,"-",(FC249-$DO249)*100)</f>
        <v>-</v>
      </c>
      <c r="FE249" s="110">
        <f>(FF:FF+FG:FG+FH:FH)^FE$3+FE$7</f>
        <v>6.3514370577037571</v>
      </c>
      <c r="FF249" s="136">
        <f>IF(SeilBeregnet=0,FF259,(SeilBeregnet^0.5/(Depl^0.3333))^FF$3)</f>
        <v>3.7103260085545093</v>
      </c>
      <c r="FG249" s="136">
        <f>IF(SeilBeregnet=0,FG259,(SeilBeregnet^0.5/Lwl*FG$7)^FG$3)</f>
        <v>0.8915319639410707</v>
      </c>
      <c r="FH249" s="136">
        <f>IF(SeilBeregnet=0,FH259,((Loa)/Bredde)^FH$3*FH$7)</f>
        <v>2.2495790852081776</v>
      </c>
      <c r="FI249" s="110">
        <f>IF(SeilBeregnet=0,FI259,(Lwl)^FI$3)</f>
        <v>1.808614233815278</v>
      </c>
      <c r="FJ249" s="110" t="str">
        <f>IF(SeilBeregnet=0,"-",FJ$7*(FL:FL+FJ$6)*FO:FO*PropF+ErfaringsF+Dyp_F)</f>
        <v>-</v>
      </c>
      <c r="FK249" s="144" t="str">
        <f t="shared" ref="FK249:FK265" si="1995">IF($DQ249=0,"-",(FJ249-$DO249)*100)</f>
        <v>-</v>
      </c>
      <c r="FL249" s="110">
        <f>(FM:FM*FN:FN)^FL$3</f>
        <v>8.3466717881481625</v>
      </c>
      <c r="FM249" s="136">
        <f>IF(SeilBeregnet=0,FM259,(SeilBeregnet^0.5/(Depl^0.3333))^FM$3)</f>
        <v>3.7103260085545093</v>
      </c>
      <c r="FN249" s="136">
        <f>IF(SeilBeregnet=0,FN259,(Loa/Bredde)^FN$3)</f>
        <v>2.2495790852081776</v>
      </c>
      <c r="FO249" s="110">
        <f>IF(SeilBeregnet=0,FO259,Lwl^FO$3)</f>
        <v>1.808614233815278</v>
      </c>
      <c r="FQ249" s="374">
        <v>1</v>
      </c>
      <c r="FR249" s="64" t="str">
        <f t="shared" si="1902"/>
        <v>-</v>
      </c>
      <c r="FS249" s="480"/>
      <c r="FT249" s="59"/>
      <c r="FU249" s="475"/>
      <c r="FV249" s="77"/>
      <c r="FW249" s="59"/>
      <c r="FX249" s="59"/>
      <c r="FY249" s="59"/>
      <c r="FZ249" s="59"/>
      <c r="GB249" s="59" t="s">
        <v>522</v>
      </c>
      <c r="GC249" s="475" t="s">
        <v>522</v>
      </c>
      <c r="GD249" s="60" t="s">
        <v>522</v>
      </c>
      <c r="GE249" s="60" t="s">
        <v>522</v>
      </c>
      <c r="GF249" s="60" t="s">
        <v>522</v>
      </c>
      <c r="GG249" s="60" t="s">
        <v>522</v>
      </c>
      <c r="GI249" s="59"/>
      <c r="GJ249" s="59"/>
      <c r="GK249" s="59"/>
      <c r="GL249" s="59"/>
      <c r="GM249" s="59"/>
      <c r="GN249" s="59"/>
      <c r="GO249" s="59"/>
      <c r="GP249" s="59"/>
    </row>
    <row r="250" spans="1:198" ht="15.6" x14ac:dyDescent="0.3">
      <c r="A250" s="62" t="s">
        <v>71</v>
      </c>
      <c r="B250" s="223"/>
      <c r="C250" s="63" t="str">
        <f>C249</f>
        <v>Bermuda</v>
      </c>
      <c r="D250" s="63"/>
      <c r="E250" s="63"/>
      <c r="F250" s="63"/>
      <c r="G250" s="56"/>
      <c r="H250" s="209">
        <f>TBFavrundet</f>
        <v>119.49999999999999</v>
      </c>
      <c r="I250" s="65">
        <f>COUNTA(O250:AD250)</f>
        <v>2</v>
      </c>
      <c r="J250" s="228">
        <f>SUM(O250:AD250)</f>
        <v>93</v>
      </c>
      <c r="K250" s="119">
        <f>Seilareal/Depl^0.667/K$7</f>
        <v>1.7178189467992964</v>
      </c>
      <c r="L250" s="119">
        <f>Seilareal/Lwl/Lwl/L$7</f>
        <v>1.6671868175087494</v>
      </c>
      <c r="M250" s="95">
        <f>RiggF</f>
        <v>1</v>
      </c>
      <c r="N250" s="265">
        <f>StHfaktor</f>
        <v>1.0566800942699763</v>
      </c>
      <c r="O250" s="147"/>
      <c r="P250" s="169">
        <v>52</v>
      </c>
      <c r="Q250" s="147"/>
      <c r="R250" s="147"/>
      <c r="S250" s="147"/>
      <c r="T250" s="147"/>
      <c r="U250" s="148"/>
      <c r="V250" s="148"/>
      <c r="W250" s="148"/>
      <c r="X250" s="148"/>
      <c r="Y250" s="147"/>
      <c r="Z250" s="147"/>
      <c r="AA250" s="147"/>
      <c r="AB250" s="169">
        <v>41</v>
      </c>
      <c r="AC250" s="147"/>
      <c r="AD250" s="148"/>
      <c r="AE250" s="260">
        <f t="shared" ref="AE250" si="1996">AE249</f>
        <v>14.3</v>
      </c>
      <c r="AF250" s="375">
        <f t="shared" ref="AF250:AH250" si="1997" xml:space="preserve"> AF249</f>
        <v>0</v>
      </c>
      <c r="AG250" s="377"/>
      <c r="AH250" s="375">
        <f t="shared" si="1997"/>
        <v>0</v>
      </c>
      <c r="AI250" s="377"/>
      <c r="AJ250" s="295" t="str">
        <f t="shared" ref="AJ250" si="1998" xml:space="preserve"> AJ249</f>
        <v>Meter</v>
      </c>
      <c r="AK250" s="47">
        <f>VLOOKUP(AJ250,Skrogform!$1:$1048576,3,FALSE)</f>
        <v>1</v>
      </c>
      <c r="AL250" s="66">
        <f t="shared" ref="AL250:AT250" si="1999">AL249</f>
        <v>13.63</v>
      </c>
      <c r="AM250" s="66">
        <f t="shared" si="1999"/>
        <v>9.1999999999999993</v>
      </c>
      <c r="AN250" s="66">
        <f t="shared" si="1999"/>
        <v>3.1</v>
      </c>
      <c r="AO250" s="66">
        <f t="shared" si="1999"/>
        <v>2.4</v>
      </c>
      <c r="AP250" s="66">
        <f t="shared" si="1999"/>
        <v>11</v>
      </c>
      <c r="AQ250" s="66">
        <f t="shared" si="1999"/>
        <v>5</v>
      </c>
      <c r="AR250" s="66">
        <f t="shared" si="1999"/>
        <v>0</v>
      </c>
      <c r="AS250" s="284">
        <f t="shared" si="1999"/>
        <v>0</v>
      </c>
      <c r="AT250" s="284">
        <f t="shared" si="1999"/>
        <v>0</v>
      </c>
      <c r="AU250" s="284">
        <f t="shared" ref="AU250:AV250" si="2000">AU249</f>
        <v>100</v>
      </c>
      <c r="AV250" s="284">
        <f t="shared" si="2000"/>
        <v>100</v>
      </c>
      <c r="AW250" s="284"/>
      <c r="AX250" s="284">
        <f>AX249</f>
        <v>0</v>
      </c>
      <c r="AY250" s="68"/>
      <c r="AZ250" s="68"/>
      <c r="BA250" s="289"/>
      <c r="BB250" s="68"/>
      <c r="BC250" s="179"/>
      <c r="BD250" s="68"/>
      <c r="BE250" s="68"/>
      <c r="BF250" s="67">
        <f t="shared" ref="BF250:BH250" si="2001" xml:space="preserve"> BF249</f>
        <v>0</v>
      </c>
      <c r="BG250" s="295">
        <f t="shared" si="2001"/>
        <v>0</v>
      </c>
      <c r="BH250" s="295">
        <f t="shared" si="2001"/>
        <v>0</v>
      </c>
      <c r="BI250" s="47">
        <f t="shared" si="1903"/>
        <v>1</v>
      </c>
      <c r="BJ250" s="61"/>
      <c r="BK250" s="61"/>
      <c r="BM250" s="51">
        <f t="shared" ref="BM250:BR250" si="2002">IF(O250=0,0,O250*BM$9)</f>
        <v>0</v>
      </c>
      <c r="BN250" s="51">
        <f t="shared" si="2002"/>
        <v>52</v>
      </c>
      <c r="BO250" s="51">
        <f t="shared" si="2002"/>
        <v>0</v>
      </c>
      <c r="BP250" s="51">
        <f t="shared" si="2002"/>
        <v>0</v>
      </c>
      <c r="BQ250" s="51">
        <f t="shared" si="2002"/>
        <v>0</v>
      </c>
      <c r="BR250" s="51">
        <f t="shared" si="2002"/>
        <v>0</v>
      </c>
      <c r="BS250" s="52">
        <f>IF(COUNT(P250:T250)&gt;1,MINA(P250:T250)*BS$9,0)</f>
        <v>0</v>
      </c>
      <c r="BT250" s="88">
        <f t="shared" ref="BT250:CC250" si="2003">IF(U250=0,0,U250*BT$9)</f>
        <v>0</v>
      </c>
      <c r="BU250" s="88">
        <f t="shared" si="2003"/>
        <v>0</v>
      </c>
      <c r="BV250" s="88">
        <f t="shared" si="2003"/>
        <v>0</v>
      </c>
      <c r="BW250" s="88">
        <f t="shared" si="2003"/>
        <v>0</v>
      </c>
      <c r="BX250" s="88">
        <f t="shared" si="2003"/>
        <v>0</v>
      </c>
      <c r="BY250" s="88">
        <f t="shared" si="2003"/>
        <v>0</v>
      </c>
      <c r="BZ250" s="88">
        <f t="shared" si="2003"/>
        <v>0</v>
      </c>
      <c r="CA250" s="88">
        <f t="shared" si="2003"/>
        <v>41</v>
      </c>
      <c r="CB250" s="88">
        <f t="shared" si="2003"/>
        <v>0</v>
      </c>
      <c r="CC250" s="88">
        <f t="shared" si="2003"/>
        <v>0</v>
      </c>
      <c r="CD250" s="103">
        <f>SUM(BM250:CC250)</f>
        <v>93</v>
      </c>
      <c r="CE250" s="52"/>
      <c r="CF250" s="107">
        <f>J250</f>
        <v>93</v>
      </c>
      <c r="CG250" s="104">
        <f>CD250/CF250</f>
        <v>1</v>
      </c>
      <c r="CH250" s="53">
        <f>Seilareal/Lwl/Lwl</f>
        <v>1.0987712665406428</v>
      </c>
      <c r="CI250" s="119">
        <f>Seilareal/Depl^0.667/K$7</f>
        <v>1.7178189467992964</v>
      </c>
      <c r="CJ250" s="53">
        <f>Seilareal/Lwl/Lwl/SApRS1</f>
        <v>1.6671868175087494</v>
      </c>
      <c r="CK250" s="209"/>
      <c r="CL250" s="209">
        <f>(ROUND(TBF/CL$6,3)*CL$6)*CL$4</f>
        <v>119.49999999999999</v>
      </c>
      <c r="CM250" s="110">
        <f t="shared" si="1772"/>
        <v>1.1961221971614706</v>
      </c>
      <c r="CN250" s="64">
        <f>IF(SeilBeregnet=0,"-",(SeilBeregnet)^(1/2)*StHfaktor/(Depl+DeplTillegg/1000+Vann/1000+Diesel/1000*0.84)^(1/3))</f>
        <v>4.5298800780088531</v>
      </c>
      <c r="CO250" s="64">
        <f t="shared" si="1759"/>
        <v>1.9189210678180926</v>
      </c>
      <c r="CP250" s="64">
        <f t="shared" si="1760"/>
        <v>1.7415941483654049</v>
      </c>
      <c r="CQ250" s="110">
        <f t="shared" si="1761"/>
        <v>1.0566800942699763</v>
      </c>
      <c r="CR250" s="172" t="str">
        <f t="shared" ref="CR250:CR265" si="2004">IF(CS250=0,"-",IF(CH250="TBF","-",CR$7*CS250))</f>
        <v>-</v>
      </c>
      <c r="CS250" s="163">
        <f>CS249</f>
        <v>0</v>
      </c>
      <c r="CT250" s="172">
        <f t="shared" si="1895"/>
        <v>1.2042105263157896</v>
      </c>
      <c r="CU250" s="163">
        <f>CU249</f>
        <v>1.56</v>
      </c>
      <c r="CV250" s="195" t="s">
        <v>145</v>
      </c>
      <c r="CW250" s="64" t="s">
        <v>111</v>
      </c>
      <c r="CX250" s="64" t="s">
        <v>111</v>
      </c>
      <c r="CY250" s="64" t="s">
        <v>111</v>
      </c>
      <c r="CZ250" s="154" t="s">
        <v>111</v>
      </c>
      <c r="DA250" s="64">
        <f t="shared" si="1951"/>
        <v>2.4336826384456436</v>
      </c>
      <c r="DB250" s="49">
        <f t="shared" si="1904"/>
        <v>18.045112781954888</v>
      </c>
      <c r="DC250" s="50">
        <f t="shared" si="1905"/>
        <v>0</v>
      </c>
      <c r="DE250" s="110">
        <f>IF(SeilBeregnet=0,"-",DE$7*(DG:DG+DE$6)*DL:DL*PropF+ErfaringsF+Dyp_F)</f>
        <v>1.1316429517312754</v>
      </c>
      <c r="DF250" s="144" t="str">
        <f t="shared" si="1990"/>
        <v>-</v>
      </c>
      <c r="DG250" s="110">
        <f t="shared" si="1959"/>
        <v>6.4334079620224456</v>
      </c>
      <c r="DH250" s="136">
        <f>IF(SeilBeregnet=0,DH249,(SeilBeregnet^0.5/(Depl^0.3333))^DH$3*DH$7)</f>
        <v>4.336559328108117</v>
      </c>
      <c r="DI250" s="136">
        <f>IF(SeilBeregnet=0,DI249,(SeilBeregnet^0.5/Lwl)^DI$3*DI$7)</f>
        <v>0</v>
      </c>
      <c r="DJ250" s="136">
        <f>IF(SeilBeregnet=0,DJ249,(0.1*Loa/Depl^0.3333)^DJ$3*DJ$7)</f>
        <v>0</v>
      </c>
      <c r="DK250" s="136">
        <f>IF(SeilBeregnet=0,DK249,((Loa)/Bredde)^DK$3*DK$7)</f>
        <v>2.0968486339143286</v>
      </c>
      <c r="DL250" s="110">
        <f>IF(SeilBeregnet=0,DL249,(Lwl)^DL$3)</f>
        <v>1.7415941483654049</v>
      </c>
      <c r="DM250" s="136">
        <f>IF(SeilBeregnet=0,DM249,(Dypg/Loa)^DM$3*5*DM$7)</f>
        <v>2.0981073118415403</v>
      </c>
      <c r="DO250" s="110">
        <f t="shared" si="669"/>
        <v>1.1961221971614708</v>
      </c>
      <c r="DP250" s="110">
        <f t="shared" si="1952"/>
        <v>1.1680744100495342</v>
      </c>
      <c r="DR250" s="110">
        <f t="shared" si="1953"/>
        <v>1.132240288337323</v>
      </c>
      <c r="DS250" s="125" t="str">
        <f t="shared" si="1991"/>
        <v>-</v>
      </c>
      <c r="DT250" s="110">
        <f t="shared" si="1966"/>
        <v>1.1635254802468855</v>
      </c>
      <c r="DU250" s="125" t="str">
        <f t="shared" si="1992"/>
        <v>-</v>
      </c>
      <c r="DV250" s="110">
        <f t="shared" si="1687"/>
        <v>4.3362473808751103</v>
      </c>
      <c r="DW250" s="110">
        <f t="shared" si="1688"/>
        <v>2.0952241096557445</v>
      </c>
      <c r="DX250" s="110">
        <f t="shared" ref="DX250:DX265" si="2005">IF(SeilBeregnet=0,DX249,((Loa+Lwl)/Bredde)^DX$3)</f>
        <v>1.6473506606766539</v>
      </c>
      <c r="DZ250" s="110">
        <f t="shared" si="1967"/>
        <v>1.1527965896425882</v>
      </c>
      <c r="EB250" s="110">
        <f t="shared" si="1690"/>
        <v>4.3362473808751103</v>
      </c>
      <c r="EC250" s="110">
        <f t="shared" ref="EC250:EC265" si="2006">IF(SeilBeregnet=0,EC249,Lwl^EC$3)</f>
        <v>2.095363606158581</v>
      </c>
      <c r="ED250" s="110">
        <f t="shared" ref="ED250:ED265" si="2007">IF(SeilBeregnet=0,ED249,((Loa+Lwl)/Bredde)^ED$3)</f>
        <v>1.9454459426913298</v>
      </c>
      <c r="EE250" s="110">
        <f t="shared" si="1968"/>
        <v>1.1464209049703966</v>
      </c>
      <c r="EG250" s="110">
        <f t="shared" ref="EG250:EG265" si="2008">IF(SeilBeregnet=0,EG249,(EH250*EI250)^EG$3)</f>
        <v>7.1433199877420233</v>
      </c>
      <c r="EH250" s="110">
        <f t="shared" si="1694"/>
        <v>4.3362473808751103</v>
      </c>
      <c r="EI250" s="110">
        <f t="shared" ref="EI250:EI265" si="2009">IF(SeilBeregnet=0,EI249,((Loa+Lwl)/Bredde)^EI$3)</f>
        <v>1.6473506606766539</v>
      </c>
      <c r="EJ250" s="110">
        <f t="shared" ref="EJ250:EJ265" si="2010">IF(SeilBeregnet=0,EJ249,Lwl^EJ$3)</f>
        <v>1.7415941483654049</v>
      </c>
      <c r="EK250" s="110">
        <f>IF(SeilBeregnet=0,"-",EK$7*(EK$4*EM:EM+EK$6)*EP:EP*PropF+ErfaringsF+Dyp_F)</f>
        <v>1.1444867935419103</v>
      </c>
      <c r="EM250" s="110">
        <f>IF(SeilBeregnet=0,EM249,(EN:EN*EO:EO)^EM$3)</f>
        <v>2.1363929993314277</v>
      </c>
      <c r="EN250" s="110">
        <f t="shared" si="1697"/>
        <v>4.3362473808751103</v>
      </c>
      <c r="EO250" s="110">
        <f t="shared" ref="EO250:EO265" si="2011">IF(SeilBeregnet=0,EO249,((Loa+Lwl)/Bredde/6)^EO$3)</f>
        <v>1.0525633449148892</v>
      </c>
      <c r="EP250" s="110">
        <f t="shared" ref="EP250:EP265" si="2012">IF(SeilBeregnet=0,EP249,(Lwl*0.7+Loa*0.3)^EP$3)</f>
        <v>1.8013445147642846</v>
      </c>
      <c r="EQ250" s="110">
        <f>IF(SeilBeregnet=0,"-",EQ$7*(ES:ES+EQ$6)*EV:EV*PropF+ErfaringsF+Dyp_F)</f>
        <v>1.0531046034044707</v>
      </c>
      <c r="ES250" s="110">
        <f>(ET:ET*EU:EU)^ES$3</f>
        <v>2.1364698434135092</v>
      </c>
      <c r="ET250" s="110">
        <f t="shared" si="1700"/>
        <v>4.336559328108117</v>
      </c>
      <c r="EU250" s="110">
        <f t="shared" ref="EU250:EU265" si="2013">IF(SeilBeregnet=0,EU249,((Loa+Lwl)/Bredde/6)^EU$3)</f>
        <v>1.0525633449148892</v>
      </c>
      <c r="EV250" s="110">
        <f t="shared" ref="EV250:EV265" si="2014">IF(SeilBeregnet=0,EV249,(Lwl*0.7+Loa*0.3)^EV$3)</f>
        <v>1.8013445147642846</v>
      </c>
      <c r="EW250" s="110">
        <f>IF(SeilBeregnet=0,"-",EW$7*(EY:EY+EW$6)*FB:FB*PropF+ErfaringsF+Dyp_F)</f>
        <v>1.1786492277128735</v>
      </c>
      <c r="EX250" s="144" t="str">
        <f t="shared" si="1993"/>
        <v>-</v>
      </c>
      <c r="EY250" s="110">
        <f>(EZ:EZ*FA:FA)^EY$3</f>
        <v>4.8044289579645145</v>
      </c>
      <c r="EZ250" s="136">
        <f t="shared" ref="EZ250:EZ265" si="2015">IF(SeilBeregnet=0,EZ249,(SeilBeregnet^0.5/(Depl^0.3333))^EZ$3)</f>
        <v>4.336559328108117</v>
      </c>
      <c r="FA250" s="136">
        <f t="shared" ref="FA250:FA265" si="2016">IF(SeilBeregnet=0,FA249,((Loa+Lwl)/Bredde/6)^FA$3)</f>
        <v>1.1078895950584198</v>
      </c>
      <c r="FB250" s="110">
        <f t="shared" ref="FB250:FB265" si="2017">IF(SeilBeregnet=0,FB249,(Lwl*0.07+Loa*0.03)^FB$3)</f>
        <v>1.0129704615569142</v>
      </c>
      <c r="FC250" s="110">
        <f>IF(SeilBeregnet=0,"-",FC$7*(FE:FE+FC$6)*FI:FI*PropF+ErfaringsF+Dyp_F)</f>
        <v>1.167280077185076</v>
      </c>
      <c r="FD250" s="144" t="str">
        <f t="shared" si="1994"/>
        <v>-</v>
      </c>
      <c r="FE250" s="110">
        <f>(FF:FF+FG:FG+FH:FH)^FE$3+FE$7</f>
        <v>6.9816308708260273</v>
      </c>
      <c r="FF250" s="136">
        <f t="shared" ref="FF250:FF265" si="2018">IF(SeilBeregnet=0,FF249,(SeilBeregnet^0.5/(Depl^0.3333))^FF$3)</f>
        <v>4.336559328108117</v>
      </c>
      <c r="FG250" s="136">
        <f>IF(SeilBeregnet=0,FG249,(SeilBeregnet^0.5/Lwl*FG$7)^FG$3)</f>
        <v>1.0482229088035822</v>
      </c>
      <c r="FH250" s="136">
        <f>IF(SeilBeregnet=0,FH249,((Loa)/Bredde)^FH$3*FH$7)</f>
        <v>2.0968486339143286</v>
      </c>
      <c r="FI250" s="110">
        <f t="shared" ref="FI250:FI265" si="2019">IF(SeilBeregnet=0,FI249,(Lwl)^FI$3)</f>
        <v>1.7415941483654049</v>
      </c>
      <c r="FJ250" s="110">
        <f>IF(SeilBeregnet=0,"-",FJ$7*(FL:FL+FJ$6)*FO:FO*PropF+ErfaringsF+Dyp_F)</f>
        <v>1.1857498199452756</v>
      </c>
      <c r="FK250" s="144" t="str">
        <f t="shared" si="1995"/>
        <v>-</v>
      </c>
      <c r="FL250" s="110">
        <f>(FM:FM*FN:FN)^FL$3</f>
        <v>9.0931085030319441</v>
      </c>
      <c r="FM250" s="136">
        <f t="shared" ref="FM250:FM265" si="2020">IF(SeilBeregnet=0,FM249,(SeilBeregnet^0.5/(Depl^0.3333))^FM$3)</f>
        <v>4.336559328108117</v>
      </c>
      <c r="FN250" s="136">
        <f t="shared" ref="FN250:FN265" si="2021">IF(SeilBeregnet=0,FN249,(Loa/Bredde)^FN$3)</f>
        <v>2.0968486339143286</v>
      </c>
      <c r="FO250" s="110">
        <f t="shared" ref="FO250:FO265" si="2022">IF(SeilBeregnet=0,FO249,Lwl^FO$3)</f>
        <v>1.7415941483654049</v>
      </c>
      <c r="FQ250" s="374">
        <v>1</v>
      </c>
      <c r="FR250" s="64">
        <f t="shared" si="1902"/>
        <v>1.3896642090789533</v>
      </c>
      <c r="FS250" s="479"/>
      <c r="FT250" s="18"/>
      <c r="FU250" s="481"/>
      <c r="FV250" s="504"/>
      <c r="FW250" s="18"/>
      <c r="FX250" s="18"/>
      <c r="FY250" s="18"/>
      <c r="FZ250" s="18"/>
      <c r="GB250" s="18"/>
      <c r="GC250" s="481"/>
      <c r="GD250" s="8"/>
      <c r="GE250" s="8"/>
      <c r="GF250" s="8"/>
      <c r="GG250" s="8"/>
      <c r="GI250" s="18"/>
      <c r="GJ250" s="18"/>
      <c r="GK250" s="18"/>
      <c r="GL250" s="18"/>
      <c r="GM250" s="18"/>
      <c r="GN250" s="18"/>
      <c r="GO250" s="18"/>
      <c r="GP250" s="18"/>
    </row>
    <row r="251" spans="1:198" ht="15.6" x14ac:dyDescent="0.3">
      <c r="A251" s="54" t="s">
        <v>83</v>
      </c>
      <c r="B251" s="223">
        <f t="shared" ref="B251" si="2023">Loa/0.3048</f>
        <v>42.84776902887139</v>
      </c>
      <c r="C251" s="55" t="s">
        <v>41</v>
      </c>
      <c r="D251" s="55"/>
      <c r="E251" s="55"/>
      <c r="F251" s="55"/>
      <c r="G251" s="56"/>
      <c r="H251" s="209"/>
      <c r="I251" s="126" t="str">
        <f>A251</f>
        <v>CARMEN IV</v>
      </c>
      <c r="J251" s="229"/>
      <c r="K251" s="119"/>
      <c r="L251" s="119"/>
      <c r="M251" s="95"/>
      <c r="N251" s="265"/>
      <c r="O251" s="169"/>
      <c r="P251" s="169"/>
      <c r="Q251" s="169"/>
      <c r="R251" s="169"/>
      <c r="S251" s="169"/>
      <c r="T251" s="169">
        <v>36.1</v>
      </c>
      <c r="U251" s="169"/>
      <c r="V251" s="169"/>
      <c r="W251" s="169"/>
      <c r="X251" s="169"/>
      <c r="Y251" s="169"/>
      <c r="Z251" s="169"/>
      <c r="AA251" s="169"/>
      <c r="AB251" s="169">
        <v>50.6</v>
      </c>
      <c r="AC251" s="169"/>
      <c r="AD251" s="169"/>
      <c r="AE251" s="263">
        <f>Loa*1.2</f>
        <v>15.672000000000001</v>
      </c>
      <c r="AF251" s="296"/>
      <c r="AG251" s="377"/>
      <c r="AH251" s="296"/>
      <c r="AI251" s="377"/>
      <c r="AJ251" s="296" t="s">
        <v>240</v>
      </c>
      <c r="AK251" s="47">
        <f>VLOOKUP(AJ251,Skrogform!$1:$1048576,3,FALSE)</f>
        <v>1</v>
      </c>
      <c r="AL251" s="57">
        <v>13.06</v>
      </c>
      <c r="AM251" s="57">
        <v>9.24</v>
      </c>
      <c r="AN251" s="57">
        <v>2.65</v>
      </c>
      <c r="AO251" s="57">
        <v>2</v>
      </c>
      <c r="AP251" s="57">
        <v>8</v>
      </c>
      <c r="AQ251" s="57">
        <v>4</v>
      </c>
      <c r="AR251" s="57"/>
      <c r="AS251" s="281"/>
      <c r="AT251" s="281">
        <v>200</v>
      </c>
      <c r="AU251" s="281"/>
      <c r="AV251" s="281"/>
      <c r="AW251" s="270">
        <f>Depl+Diesel/1000+Vann/1000</f>
        <v>8</v>
      </c>
      <c r="AX251" s="281"/>
      <c r="AY251" s="98">
        <f>Bredde/(Loa+Lwl)*2</f>
        <v>0.23766816143497757</v>
      </c>
      <c r="AZ251" s="98">
        <f>(Kjøl+Ballast)/Depl</f>
        <v>0.5</v>
      </c>
      <c r="BA251" s="288">
        <f>BA$7*((Depl-Kjøl-Ballast-VektMotor/1000-VektAnnet/1000)/Loa/Lwl/Bredde)</f>
        <v>0.51414863569084734</v>
      </c>
      <c r="BB251" s="98">
        <f>BB$7*(Depl/Loa/Lwl/Lwl)</f>
        <v>0.5387546443444946</v>
      </c>
      <c r="BC251" s="178">
        <f>BC$7*(Depl/Loa/Lwl/Bredde)</f>
        <v>0.69436758103325324</v>
      </c>
      <c r="BD251" s="98">
        <f>BD$7*Bredde/(Loa+Lwl)*2</f>
        <v>0.67799315299676932</v>
      </c>
      <c r="BE251" s="98">
        <f>BE$7*(Dypg/Lwl)</f>
        <v>1.1838885751929229</v>
      </c>
      <c r="BF251" s="58" t="s">
        <v>24</v>
      </c>
      <c r="BG251" s="296">
        <v>2</v>
      </c>
      <c r="BH251" s="296">
        <v>40</v>
      </c>
      <c r="BI251" s="47">
        <f t="shared" si="1903"/>
        <v>1</v>
      </c>
      <c r="BJ251" s="61"/>
      <c r="BK251" s="61"/>
      <c r="BM251" s="214"/>
      <c r="BN251" s="214" t="str">
        <f>$A251</f>
        <v>CARMEN IV</v>
      </c>
      <c r="BO251" s="10"/>
      <c r="BP251" s="10"/>
      <c r="BQ251" s="10"/>
      <c r="BR251" s="10"/>
      <c r="BS251" s="52"/>
      <c r="BT251" s="214" t="str">
        <f>$A251</f>
        <v>CARMEN IV</v>
      </c>
      <c r="BU251" s="10"/>
      <c r="BV251" s="10"/>
      <c r="BW251" s="10"/>
      <c r="BX251" s="10"/>
      <c r="BY251" s="10"/>
      <c r="BZ251" s="10"/>
      <c r="CA251" s="10"/>
      <c r="CB251" s="10"/>
      <c r="CC251" s="10"/>
      <c r="CD251" s="214"/>
      <c r="CE251" s="10"/>
      <c r="CF251" s="214" t="str">
        <f>$A251</f>
        <v>CARMEN IV</v>
      </c>
      <c r="CG251" s="212"/>
      <c r="CH251" s="212"/>
      <c r="CI251" s="119"/>
      <c r="CJ251" s="212"/>
      <c r="CK251" s="208"/>
      <c r="CL251" s="208" t="s">
        <v>26</v>
      </c>
      <c r="CM251" s="110" t="str">
        <f t="shared" si="1772"/>
        <v>-</v>
      </c>
      <c r="CN251" s="64" t="str">
        <f>IF(SeilBeregnet=0,"-",(SeilBeregnet)^(1/2)*StHfaktor/(Depl+DeplTillegg/1000+Vann/1000+Diesel/1000*0.84)^(1/3))</f>
        <v>-</v>
      </c>
      <c r="CO251" s="64" t="str">
        <f t="shared" si="1759"/>
        <v>-</v>
      </c>
      <c r="CP251" s="64" t="str">
        <f t="shared" si="1760"/>
        <v>-</v>
      </c>
      <c r="CQ251" s="110" t="str">
        <f t="shared" si="1761"/>
        <v>-</v>
      </c>
      <c r="CR251" s="172" t="str">
        <f t="shared" si="2004"/>
        <v>-</v>
      </c>
      <c r="CS251" s="162"/>
      <c r="CT251" s="172" t="str">
        <f t="shared" si="1895"/>
        <v>-</v>
      </c>
      <c r="CU251" s="164">
        <v>1.23</v>
      </c>
      <c r="CV251" s="195" t="s">
        <v>145</v>
      </c>
      <c r="CW251" s="30" t="s">
        <v>26</v>
      </c>
      <c r="CX251" s="30" t="s">
        <v>26</v>
      </c>
      <c r="CY251" s="30" t="s">
        <v>26</v>
      </c>
      <c r="CZ251" s="153">
        <v>2022</v>
      </c>
      <c r="DA251" s="64" t="str">
        <f t="shared" si="1951"/>
        <v>-</v>
      </c>
      <c r="DB251" s="49">
        <f t="shared" si="1904"/>
        <v>15.51590380139643</v>
      </c>
      <c r="DC251" s="50">
        <f t="shared" si="1905"/>
        <v>0</v>
      </c>
      <c r="DE251" s="110" t="str">
        <f>IF(SeilBeregnet=0,"-",DE$7*(DG:DG+DE$6)*DL:DL*PropF+ErfaringsF+Dyp_F)</f>
        <v>-</v>
      </c>
      <c r="DF251" s="144" t="str">
        <f t="shared" ref="DF251:DF259" si="2024">IF($DQ251=0,"-",(DE251-$DO251)*100)</f>
        <v>-</v>
      </c>
      <c r="DG251" s="110">
        <f t="shared" si="1959"/>
        <v>6.1134011942779836</v>
      </c>
      <c r="DH251" s="136">
        <f>IF(SeilBeregnet=0,DH68,(SeilBeregnet^0.5/(Depl^0.3333))^DH$3*DH$7)</f>
        <v>4.0624625783391242</v>
      </c>
      <c r="DI251" s="136">
        <f>IF(SeilBeregnet=0,DI68,(SeilBeregnet^0.5/Lwl)^DI$3*DI$7)</f>
        <v>0</v>
      </c>
      <c r="DJ251" s="136">
        <f>IF(SeilBeregnet=0,DJ68,(0.1*Loa/Depl^0.3333)^DJ$3*DJ$7)</f>
        <v>0</v>
      </c>
      <c r="DK251" s="136">
        <f>IF(SeilBeregnet=0,DK68,((Loa)/Bredde)^DK$3*DK$7)</f>
        <v>2.0509386159388598</v>
      </c>
      <c r="DL251" s="110">
        <f>IF(SeilBeregnet=0,DL68,(Lwl)^DL$3)</f>
        <v>1.8962676285991491</v>
      </c>
      <c r="DM251" s="136">
        <f>IF(SeilBeregnet=0,DM68,(Dypg/Loa)^DM$3*5*DM$7)</f>
        <v>2.0412414523193152</v>
      </c>
      <c r="DO251" s="110" t="str">
        <f t="shared" si="669"/>
        <v>-</v>
      </c>
      <c r="DP251" s="110" t="str">
        <f t="shared" si="1952"/>
        <v>-</v>
      </c>
      <c r="DR251" s="110" t="str">
        <f t="shared" si="1953"/>
        <v>-</v>
      </c>
      <c r="DS251" s="125" t="str">
        <f t="shared" ref="DS251:DS259" si="2025">IF($DQ251=0,"-",DR251-$DO251)</f>
        <v>-</v>
      </c>
      <c r="DT251" s="110" t="str">
        <f t="shared" si="1966"/>
        <v>-</v>
      </c>
      <c r="DU251" s="125" t="str">
        <f t="shared" ref="DU251:DU259" si="2026">IF($DQ251=0,"-",DT251-$DO251)</f>
        <v>-</v>
      </c>
      <c r="DV251" s="110">
        <f>IF(SeilBeregnet=0,DV68,SeilBeregnet^0.5/Depl^0.33333)</f>
        <v>4.0621060751336824</v>
      </c>
      <c r="DW251" s="110">
        <f>IF(SeilBeregnet=0,DW68,Lwl^0.3333)</f>
        <v>2.346906502982169</v>
      </c>
      <c r="DX251" s="110">
        <f>IF(SeilBeregnet=0,DX68,((Loa+Lwl)/Bredde)^DX$3)</f>
        <v>1.6618361831906654</v>
      </c>
      <c r="DZ251" s="110" t="str">
        <f t="shared" si="1967"/>
        <v>-</v>
      </c>
      <c r="EB251" s="110">
        <f>IF(SeilBeregnet=0,EB68,SeilBeregnet^0.5/Depl^0.33333)</f>
        <v>4.0621060751336824</v>
      </c>
      <c r="EC251" s="110">
        <f>IF(SeilBeregnet=0,EC68,Lwl^EC$3)</f>
        <v>2.3470867206509878</v>
      </c>
      <c r="ED251" s="110">
        <f>IF(SeilBeregnet=0,ED68,((Loa+Lwl)/Bredde)^ED$3)</f>
        <v>1.9682859953710667</v>
      </c>
      <c r="EE251" s="110" t="str">
        <f t="shared" si="1968"/>
        <v>-</v>
      </c>
      <c r="EG251" s="110">
        <f>IF(SeilBeregnet=0,EG68,(EH251*EI251)^EG$3)</f>
        <v>6.7505548556157731</v>
      </c>
      <c r="EH251" s="110">
        <f>IF(SeilBeregnet=0,EH68,SeilBeregnet^0.5/Depl^0.33333)</f>
        <v>4.0621060751336824</v>
      </c>
      <c r="EI251" s="110">
        <f>IF(SeilBeregnet=0,EI68,((Loa+Lwl)/Bredde)^EI$3)</f>
        <v>1.6618361831906654</v>
      </c>
      <c r="EJ251" s="110">
        <f>IF(SeilBeregnet=0,EJ68,Lwl^EJ$3)</f>
        <v>1.8962676285991491</v>
      </c>
      <c r="EK251" s="110" t="str">
        <f>IF(SeilBeregnet=0,"-",EK$7*(EK$4*EM:EM+EK$6)*EP:EP*PropF+ErfaringsF+Dyp_F)</f>
        <v>-</v>
      </c>
      <c r="EM251" s="110">
        <f>IF(SeilBeregnet=0,EM68,(EN:EN*EO:EO)^EM$3)</f>
        <v>2.0768294284393916</v>
      </c>
      <c r="EN251" s="110">
        <f>IF(SeilBeregnet=0,EN68,SeilBeregnet^0.5/Depl^0.33333)</f>
        <v>4.0621060751336824</v>
      </c>
      <c r="EO251" s="110">
        <f>IF(SeilBeregnet=0,EO68,((Loa+Lwl)/Bredde/6)^EO$3)</f>
        <v>1.0618187696366208</v>
      </c>
      <c r="EP251" s="110">
        <f>IF(SeilBeregnet=0,EP68,(Lwl*0.7+Loa*0.3)^EP$3)</f>
        <v>1.928123583877269</v>
      </c>
      <c r="EQ251" s="110" t="str">
        <f>IF(SeilBeregnet=0,"-",EQ$7*(ES:ES+EQ$6)*EV:EV*PropF+ErfaringsF+Dyp_F)</f>
        <v>-</v>
      </c>
      <c r="ES251" s="110">
        <f>(ET:ET*EU:EU)^ES$3</f>
        <v>2.0769205609812964</v>
      </c>
      <c r="ET251" s="110">
        <f>IF(SeilBeregnet=0,ET68,SeilBeregnet^0.5/Depl^0.3333)</f>
        <v>4.0624625783391242</v>
      </c>
      <c r="EU251" s="110">
        <f>IF(SeilBeregnet=0,EU68,((Loa+Lwl)/Bredde/6)^EU$3)</f>
        <v>1.0618187696366208</v>
      </c>
      <c r="EV251" s="110">
        <f>IF(SeilBeregnet=0,EV68,(Lwl*0.7+Loa*0.3)^EV$3)</f>
        <v>1.928123583877269</v>
      </c>
      <c r="EW251" s="110" t="str">
        <f>IF(SeilBeregnet=0,"-",EW$7*(EY:EY+EW$6)*FB:FB*PropF+ErfaringsF+Dyp_F)</f>
        <v>-</v>
      </c>
      <c r="EX251" s="144" t="str">
        <f t="shared" ref="EX251:EX259" si="2027">IF($DQ251=0,"-",(EW251-$DO251)*100)</f>
        <v>-</v>
      </c>
      <c r="EY251" s="110">
        <f>(EZ:EZ*FA:FA)^EY$3</f>
        <v>4.5802604005404737</v>
      </c>
      <c r="EZ251" s="136">
        <f>IF(SeilBeregnet=0,EZ68,(SeilBeregnet^0.5/(Depl^0.3333))^EZ$3)</f>
        <v>4.0624625783391242</v>
      </c>
      <c r="FA251" s="136">
        <f>IF(SeilBeregnet=0,FA68,((Loa+Lwl)/Bredde/6)^FA$3)</f>
        <v>1.1274590995526272</v>
      </c>
      <c r="FB251" s="110">
        <f>IF(SeilBeregnet=0,FB68,(Lwl*0.07+Loa*0.03)^FB$3)</f>
        <v>1.0842635712883086</v>
      </c>
      <c r="FC251" s="110" t="str">
        <f>IF(SeilBeregnet=0,"-",FC$7*(FE:FE+FC$6)*FI:FI*PropF+ErfaringsF+Dyp_F)</f>
        <v>-</v>
      </c>
      <c r="FD251" s="144" t="str">
        <f t="shared" ref="FD251:FD259" si="2028">IF($DQ251=0,"-",(FC251-$DO251)*100)</f>
        <v>-</v>
      </c>
      <c r="FE251" s="110">
        <f>(FF:FF+FG:FG+FH:FH)^FE$3+FE$7</f>
        <v>6.4463733222183563</v>
      </c>
      <c r="FF251" s="136">
        <f>IF(SeilBeregnet=0,FF68,(SeilBeregnet^0.5/(Depl^0.3333))^FF$3)</f>
        <v>4.0624625783391242</v>
      </c>
      <c r="FG251" s="136">
        <f>IF(SeilBeregnet=0,FG68,(SeilBeregnet^0.5/Lwl*FG$7)^FG$3)</f>
        <v>0.83297212794037179</v>
      </c>
      <c r="FH251" s="136">
        <f>IF(SeilBeregnet=0,FH68,((Loa)/Bredde)^FH$3*FH$7)</f>
        <v>2.0509386159388598</v>
      </c>
      <c r="FI251" s="110">
        <f>IF(SeilBeregnet=0,FI68,(Lwl)^FI$3)</f>
        <v>1.8962676285991491</v>
      </c>
      <c r="FJ251" s="110" t="str">
        <f>IF(SeilBeregnet=0,"-",FJ$7*(FL:FL+FJ$6)*FO:FO*PropF+ErfaringsF+Dyp_F)</f>
        <v>-</v>
      </c>
      <c r="FK251" s="144" t="str">
        <f t="shared" ref="FK251:FK259" si="2029">IF($DQ251=0,"-",(FJ251-$DO251)*100)</f>
        <v>-</v>
      </c>
      <c r="FL251" s="110">
        <f>(FM:FM*FN:FN)^FL$3</f>
        <v>8.3318613777222552</v>
      </c>
      <c r="FM251" s="136">
        <f>IF(SeilBeregnet=0,FM68,(SeilBeregnet^0.5/(Depl^0.3333))^FM$3)</f>
        <v>4.0624625783391242</v>
      </c>
      <c r="FN251" s="136">
        <f>IF(SeilBeregnet=0,FN68,(Loa/Bredde)^FN$3)</f>
        <v>2.0509386159388598</v>
      </c>
      <c r="FO251" s="110">
        <f>IF(SeilBeregnet=0,FO68,Lwl^FO$3)</f>
        <v>1.8962676285991491</v>
      </c>
      <c r="FQ251" s="374">
        <v>1</v>
      </c>
      <c r="FR251" s="64" t="str">
        <f t="shared" si="1902"/>
        <v>-</v>
      </c>
      <c r="FS251" s="480" t="s">
        <v>499</v>
      </c>
      <c r="FT251" s="59" t="s">
        <v>84</v>
      </c>
      <c r="FU251" s="475"/>
      <c r="FV251" s="77"/>
      <c r="FW251" s="59"/>
      <c r="FX251" s="59"/>
      <c r="FY251" s="59"/>
      <c r="FZ251" s="59"/>
      <c r="GB251" s="59" t="s">
        <v>522</v>
      </c>
      <c r="GC251" s="475" t="s">
        <v>522</v>
      </c>
      <c r="GD251" s="60" t="s">
        <v>522</v>
      </c>
      <c r="GE251" s="60" t="s">
        <v>522</v>
      </c>
      <c r="GF251" s="60" t="s">
        <v>522</v>
      </c>
      <c r="GG251" s="60" t="s">
        <v>522</v>
      </c>
      <c r="GI251" s="59"/>
      <c r="GJ251" s="59"/>
      <c r="GK251" s="59"/>
      <c r="GL251" s="59"/>
      <c r="GM251" s="59"/>
      <c r="GN251" s="59"/>
      <c r="GO251" s="59"/>
      <c r="GP251" s="59"/>
    </row>
    <row r="252" spans="1:198" ht="15.6" x14ac:dyDescent="0.3">
      <c r="A252" s="62" t="s">
        <v>259</v>
      </c>
      <c r="B252" s="223"/>
      <c r="C252" s="63" t="str">
        <f>C251</f>
        <v>Bermuda</v>
      </c>
      <c r="D252" s="63"/>
      <c r="E252" s="63"/>
      <c r="F252" s="63"/>
      <c r="G252" s="56"/>
      <c r="H252" s="209">
        <f>TBFavrundet</f>
        <v>129.5</v>
      </c>
      <c r="I252" s="65">
        <f>COUNTA(O252:AD252)</f>
        <v>2</v>
      </c>
      <c r="J252" s="228">
        <f>SUM(O252:AD252)</f>
        <v>86.7</v>
      </c>
      <c r="K252" s="119">
        <f>Seilareal/Depl^0.667/K$7</f>
        <v>1.9804388494166327</v>
      </c>
      <c r="L252" s="119">
        <f>Seilareal/Lwl/Lwl/L$7</f>
        <v>1.5408207870043731</v>
      </c>
      <c r="M252" s="95">
        <f>RiggF</f>
        <v>1</v>
      </c>
      <c r="N252" s="265">
        <f>StHfaktor</f>
        <v>1.0682712891864727</v>
      </c>
      <c r="O252" s="147"/>
      <c r="P252" s="147"/>
      <c r="Q252" s="147"/>
      <c r="R252" s="147"/>
      <c r="S252" s="147"/>
      <c r="T252" s="169">
        <v>36.1</v>
      </c>
      <c r="U252" s="148"/>
      <c r="V252" s="148"/>
      <c r="W252" s="148"/>
      <c r="X252" s="148"/>
      <c r="Y252" s="147"/>
      <c r="Z252" s="147"/>
      <c r="AA252" s="147"/>
      <c r="AB252" s="169">
        <v>50.6</v>
      </c>
      <c r="AC252" s="147"/>
      <c r="AD252" s="148"/>
      <c r="AE252" s="260">
        <f t="shared" ref="AE252" si="2030">AE251</f>
        <v>15.672000000000001</v>
      </c>
      <c r="AF252" s="375">
        <f t="shared" ref="AF252:AH252" si="2031" xml:space="preserve"> AF251</f>
        <v>0</v>
      </c>
      <c r="AG252" s="377"/>
      <c r="AH252" s="375">
        <f t="shared" si="2031"/>
        <v>0</v>
      </c>
      <c r="AI252" s="377"/>
      <c r="AJ252" s="295" t="str">
        <f t="shared" ref="AJ252" si="2032" xml:space="preserve"> AJ251</f>
        <v>Meter</v>
      </c>
      <c r="AK252" s="47">
        <f>VLOOKUP(AJ252,Skrogform!$1:$1048576,3,FALSE)</f>
        <v>1</v>
      </c>
      <c r="AL252" s="66">
        <f t="shared" ref="AL252:AT252" si="2033">AL251</f>
        <v>13.06</v>
      </c>
      <c r="AM252" s="66">
        <f t="shared" si="2033"/>
        <v>9.24</v>
      </c>
      <c r="AN252" s="66">
        <f t="shared" si="2033"/>
        <v>2.65</v>
      </c>
      <c r="AO252" s="66">
        <f t="shared" si="2033"/>
        <v>2</v>
      </c>
      <c r="AP252" s="66">
        <f t="shared" si="2033"/>
        <v>8</v>
      </c>
      <c r="AQ252" s="66">
        <f t="shared" si="2033"/>
        <v>4</v>
      </c>
      <c r="AR252" s="66">
        <f t="shared" si="2033"/>
        <v>0</v>
      </c>
      <c r="AS252" s="284">
        <f t="shared" si="2033"/>
        <v>0</v>
      </c>
      <c r="AT252" s="284">
        <f t="shared" si="2033"/>
        <v>200</v>
      </c>
      <c r="AU252" s="284">
        <f t="shared" ref="AU252:AV252" si="2034">AU251</f>
        <v>0</v>
      </c>
      <c r="AV252" s="284">
        <f t="shared" si="2034"/>
        <v>0</v>
      </c>
      <c r="AW252" s="284"/>
      <c r="AX252" s="284">
        <f>AX251</f>
        <v>0</v>
      </c>
      <c r="AY252" s="68"/>
      <c r="AZ252" s="68"/>
      <c r="BA252" s="289"/>
      <c r="BB252" s="68"/>
      <c r="BC252" s="179"/>
      <c r="BD252" s="68"/>
      <c r="BE252" s="68"/>
      <c r="BF252" s="67" t="str">
        <f t="shared" ref="BF252:BH252" si="2035" xml:space="preserve"> BF251</f>
        <v>Seilrett</v>
      </c>
      <c r="BG252" s="295">
        <f t="shared" si="2035"/>
        <v>2</v>
      </c>
      <c r="BH252" s="295">
        <f t="shared" si="2035"/>
        <v>40</v>
      </c>
      <c r="BI252" s="47">
        <f t="shared" si="1903"/>
        <v>1</v>
      </c>
      <c r="BJ252" s="61"/>
      <c r="BK252" s="61"/>
      <c r="BM252" s="51">
        <f t="shared" ref="BM252:BR252" si="2036">IF(O252=0,0,O252*BM$9)</f>
        <v>0</v>
      </c>
      <c r="BN252" s="51">
        <f t="shared" si="2036"/>
        <v>0</v>
      </c>
      <c r="BO252" s="51">
        <f t="shared" si="2036"/>
        <v>0</v>
      </c>
      <c r="BP252" s="51">
        <f t="shared" si="2036"/>
        <v>0</v>
      </c>
      <c r="BQ252" s="51">
        <f t="shared" si="2036"/>
        <v>0</v>
      </c>
      <c r="BR252" s="51">
        <f t="shared" si="2036"/>
        <v>36.1</v>
      </c>
      <c r="BS252" s="52">
        <f>IF(COUNT(P252:T252)&gt;1,MINA(P252:T252)*BS$9,0)</f>
        <v>0</v>
      </c>
      <c r="BT252" s="88">
        <f t="shared" ref="BT252:CC252" si="2037">IF(U252=0,0,U252*BT$9)</f>
        <v>0</v>
      </c>
      <c r="BU252" s="88">
        <f t="shared" si="2037"/>
        <v>0</v>
      </c>
      <c r="BV252" s="88">
        <f t="shared" si="2037"/>
        <v>0</v>
      </c>
      <c r="BW252" s="88">
        <f t="shared" si="2037"/>
        <v>0</v>
      </c>
      <c r="BX252" s="88">
        <f t="shared" si="2037"/>
        <v>0</v>
      </c>
      <c r="BY252" s="88">
        <f t="shared" si="2037"/>
        <v>0</v>
      </c>
      <c r="BZ252" s="88">
        <f t="shared" si="2037"/>
        <v>0</v>
      </c>
      <c r="CA252" s="88">
        <f t="shared" si="2037"/>
        <v>50.6</v>
      </c>
      <c r="CB252" s="88">
        <f t="shared" si="2037"/>
        <v>0</v>
      </c>
      <c r="CC252" s="88">
        <f t="shared" si="2037"/>
        <v>0</v>
      </c>
      <c r="CD252" s="103">
        <f>SUM(BM252:CC252)</f>
        <v>86.7</v>
      </c>
      <c r="CE252" s="52"/>
      <c r="CF252" s="107">
        <f>J252</f>
        <v>86.7</v>
      </c>
      <c r="CG252" s="104">
        <f>CD252/CF252</f>
        <v>1</v>
      </c>
      <c r="CH252" s="53">
        <f>Seilareal/Lwl/Lwl</f>
        <v>1.0154888401641649</v>
      </c>
      <c r="CI252" s="119">
        <f>Seilareal/Depl^0.667/K$7</f>
        <v>1.9804388494166327</v>
      </c>
      <c r="CJ252" s="53">
        <f>Seilareal/Lwl/Lwl/SApRS1</f>
        <v>1.5408207870043731</v>
      </c>
      <c r="CK252" s="209"/>
      <c r="CL252" s="209">
        <f>(ROUND(TBF/CL$6,3)*CL$6)*CL$4</f>
        <v>129.5</v>
      </c>
      <c r="CM252" s="110">
        <f t="shared" si="1772"/>
        <v>1.2967873911005532</v>
      </c>
      <c r="CN252" s="64">
        <f>IF(SeilBeregnet=0,"-",(SeilBeregnet)^(1/2)*StHfaktor/(Depl+DeplTillegg/1000+Vann/1000+Diesel/1000*0.84)^(1/3))</f>
        <v>4.9327202702869224</v>
      </c>
      <c r="CO252" s="64">
        <f t="shared" si="1759"/>
        <v>2.0512306476384663</v>
      </c>
      <c r="CP252" s="64">
        <f t="shared" si="1760"/>
        <v>1.7434841068143216</v>
      </c>
      <c r="CQ252" s="110">
        <f t="shared" si="1761"/>
        <v>1.0682712891864727</v>
      </c>
      <c r="CR252" s="172" t="str">
        <f t="shared" si="2004"/>
        <v>-</v>
      </c>
      <c r="CS252" s="163">
        <f>CS251</f>
        <v>0</v>
      </c>
      <c r="CT252" s="172">
        <f t="shared" si="1895"/>
        <v>0.94947368421052636</v>
      </c>
      <c r="CU252" s="163">
        <f>CU251</f>
        <v>1.23</v>
      </c>
      <c r="CV252" s="195" t="s">
        <v>145</v>
      </c>
      <c r="CW252" s="64">
        <v>1.22</v>
      </c>
      <c r="CX252" s="64">
        <v>1.08</v>
      </c>
      <c r="CY252" s="64">
        <v>1.24</v>
      </c>
      <c r="CZ252" s="154">
        <v>1.29</v>
      </c>
      <c r="DA252" s="64">
        <f t="shared" si="1951"/>
        <v>2.1962598284315979</v>
      </c>
      <c r="DB252" s="49">
        <f t="shared" si="1904"/>
        <v>15.51590380139643</v>
      </c>
      <c r="DC252" s="50">
        <f t="shared" si="1905"/>
        <v>0</v>
      </c>
      <c r="DE252" s="110">
        <f>IF(SeilBeregnet=0,"-",DE$7*(DG:DG+DE$6)*DL:DL*PropF+ErfaringsF+Dyp_F)</f>
        <v>1.2107977180625293</v>
      </c>
      <c r="DF252" s="144">
        <f t="shared" si="2024"/>
        <v>-8.5989673038023859</v>
      </c>
      <c r="DG252" s="110">
        <f t="shared" si="1959"/>
        <v>6.8759423567935043</v>
      </c>
      <c r="DH252" s="136">
        <f>IF(SeilBeregnet=0,DH251,(SeilBeregnet^0.5/(Depl^0.3333))^DH$3*DH$7)</f>
        <v>4.655964454472751</v>
      </c>
      <c r="DI252" s="136">
        <f>IF(SeilBeregnet=0,DI251,(SeilBeregnet^0.5/Lwl)^DI$3*DI$7)</f>
        <v>0</v>
      </c>
      <c r="DJ252" s="136">
        <f>IF(SeilBeregnet=0,DJ251,(0.1*Loa/Depl^0.3333)^DJ$3*DJ$7)</f>
        <v>0</v>
      </c>
      <c r="DK252" s="136">
        <f>IF(SeilBeregnet=0,DK251,((Loa)/Bredde)^DK$3*DK$7)</f>
        <v>2.2199779023207533</v>
      </c>
      <c r="DL252" s="110">
        <f>IF(SeilBeregnet=0,DL251,(Lwl)^DL$3)</f>
        <v>1.7434841068143216</v>
      </c>
      <c r="DM252" s="136">
        <f>IF(SeilBeregnet=0,DM251,(Dypg/Loa)^DM$3*5*DM$7)</f>
        <v>1.9566512004870806</v>
      </c>
      <c r="DO252" s="110">
        <f t="shared" si="669"/>
        <v>1.2967873911005532</v>
      </c>
      <c r="DP252" s="110">
        <f t="shared" si="1952"/>
        <v>1.2144070005508665</v>
      </c>
      <c r="DQ252" s="125">
        <f>DP252-DO252</f>
        <v>-8.2380390549686711E-2</v>
      </c>
      <c r="DR252" s="110">
        <f t="shared" si="1953"/>
        <v>1.2036857518074924</v>
      </c>
      <c r="DS252" s="125">
        <f t="shared" si="2025"/>
        <v>-9.3101639293060812E-2</v>
      </c>
      <c r="DT252" s="110">
        <f t="shared" si="1966"/>
        <v>1.2682618964171706</v>
      </c>
      <c r="DU252" s="125">
        <f t="shared" si="2026"/>
        <v>-2.8525494683382613E-2</v>
      </c>
      <c r="DV252" s="110">
        <f>IF(SeilBeregnet=0,DV251,SeilBeregnet^0.5/Depl^0.33333)</f>
        <v>4.6556740093552031</v>
      </c>
      <c r="DW252" s="110">
        <f>IF(SeilBeregnet=0,DW251,Lwl^0.3333)</f>
        <v>2.0982559726929519</v>
      </c>
      <c r="DX252" s="110">
        <f>IF(SeilBeregnet=0,DX251,((Loa+Lwl)/Bredde)^DX$3)</f>
        <v>1.7031964658974801</v>
      </c>
      <c r="DZ252" s="110">
        <f t="shared" si="1967"/>
        <v>1.2595921983854228</v>
      </c>
      <c r="EB252" s="110">
        <f>IF(SeilBeregnet=0,EB251,SeilBeregnet^0.5/Depl^0.33333)</f>
        <v>4.6556740093552031</v>
      </c>
      <c r="EC252" s="110">
        <f>IF(SeilBeregnet=0,EC251,Lwl^EC$3)</f>
        <v>2.0983959441626494</v>
      </c>
      <c r="ED252" s="110">
        <f>IF(SeilBeregnet=0,ED251,((Loa+Lwl)/Bredde)^ED$3)</f>
        <v>2.033865179344414</v>
      </c>
      <c r="EE252" s="110">
        <f t="shared" si="1968"/>
        <v>1.2463493673191997</v>
      </c>
      <c r="EG252" s="110">
        <f>IF(SeilBeregnet=0,EG251,(EH252*EI252)^EG$3)</f>
        <v>7.9295275191045338</v>
      </c>
      <c r="EH252" s="110">
        <f>IF(SeilBeregnet=0,EH251,SeilBeregnet^0.5/Depl^0.33333)</f>
        <v>4.6556740093552031</v>
      </c>
      <c r="EI252" s="110">
        <f>IF(SeilBeregnet=0,EI251,((Loa+Lwl)/Bredde)^EI$3)</f>
        <v>1.7031964658974801</v>
      </c>
      <c r="EJ252" s="110">
        <f>IF(SeilBeregnet=0,EJ251,Lwl^EJ$3)</f>
        <v>1.7434841068143216</v>
      </c>
      <c r="EK252" s="110">
        <f>IF(SeilBeregnet=0,"-",EK$7*(EK$4*EM:EM+EK$6)*EP:EP*PropF+ErfaringsF+Dyp_F)</f>
        <v>1.2203880511296166</v>
      </c>
      <c r="EM252" s="110">
        <f>IF(SeilBeregnet=0,EM251,(EN:EN*EO:EO)^EM$3)</f>
        <v>2.2508924737230109</v>
      </c>
      <c r="EN252" s="110">
        <f>IF(SeilBeregnet=0,EN251,SeilBeregnet^0.5/Depl^0.33333)</f>
        <v>4.6556740093552031</v>
      </c>
      <c r="EO252" s="110">
        <f>IF(SeilBeregnet=0,EO251,((Loa+Lwl)/Bredde/6)^EO$3)</f>
        <v>1.0882456370618165</v>
      </c>
      <c r="EP252" s="110">
        <f>IF(SeilBeregnet=0,EP251,(Lwl*0.7+Loa*0.3)^EP$3)</f>
        <v>1.7951968584194291</v>
      </c>
      <c r="EQ252" s="110">
        <f>IF(SeilBeregnet=0,"-",EQ$7*(ES:ES+EQ$6)*EV:EV*PropF+ErfaringsF+Dyp_F)</f>
        <v>1.1057535380527519</v>
      </c>
      <c r="ES252" s="110">
        <f>(ET:ET*EU:EU)^ES$3</f>
        <v>2.2509626838077241</v>
      </c>
      <c r="ET252" s="110">
        <f>IF(SeilBeregnet=0,ET251,SeilBeregnet^0.5/Depl^0.3333)</f>
        <v>4.655964454472751</v>
      </c>
      <c r="EU252" s="110">
        <f>IF(SeilBeregnet=0,EU251,((Loa+Lwl)/Bredde/6)^EU$3)</f>
        <v>1.0882456370618165</v>
      </c>
      <c r="EV252" s="110">
        <f>IF(SeilBeregnet=0,EV251,(Lwl*0.7+Loa*0.3)^EV$3)</f>
        <v>1.7951968584194291</v>
      </c>
      <c r="EW252" s="110">
        <f>IF(SeilBeregnet=0,"-",EW$7*(EY:EY+EW$6)*FB:FB*PropF+ErfaringsF+Dyp_F)</f>
        <v>1.2971105921214698</v>
      </c>
      <c r="EX252" s="144">
        <f t="shared" si="2027"/>
        <v>3.2320102091665248E-2</v>
      </c>
      <c r="EY252" s="110">
        <f>(EZ:EZ*FA:FA)^EY$3</f>
        <v>5.5139589102094115</v>
      </c>
      <c r="EZ252" s="136">
        <f>IF(SeilBeregnet=0,EZ251,(SeilBeregnet^0.5/(Depl^0.3333))^EZ$3)</f>
        <v>4.655964454472751</v>
      </c>
      <c r="FA252" s="136">
        <f>IF(SeilBeregnet=0,FA251,((Loa+Lwl)/Bredde/6)^FA$3)</f>
        <v>1.1842785665840787</v>
      </c>
      <c r="FB252" s="110">
        <f>IF(SeilBeregnet=0,FB251,(Lwl*0.07+Loa*0.03)^FB$3)</f>
        <v>1.0095133803411334</v>
      </c>
      <c r="FC252" s="110">
        <f>IF(SeilBeregnet=0,"-",FC$7*(FE:FE+FC$6)*FI:FI*PropF+ErfaringsF+Dyp_F)</f>
        <v>1.2358357116065326</v>
      </c>
      <c r="FD252" s="144">
        <f t="shared" si="2028"/>
        <v>-6.0951679494020583</v>
      </c>
      <c r="FE252" s="110">
        <f>(FF:FF+FG:FG+FH:FH)^FE$3+FE$7</f>
        <v>7.3836570188701085</v>
      </c>
      <c r="FF252" s="136">
        <f>IF(SeilBeregnet=0,FF251,(SeilBeregnet^0.5/(Depl^0.3333))^FF$3)</f>
        <v>4.655964454472751</v>
      </c>
      <c r="FG252" s="136">
        <f>IF(SeilBeregnet=0,FG251,(SeilBeregnet^0.5/Lwl*FG$7)^FG$3)</f>
        <v>1.0077146620766044</v>
      </c>
      <c r="FH252" s="136">
        <f>IF(SeilBeregnet=0,FH251,((Loa)/Bredde)^FH$3*FH$7)</f>
        <v>2.2199779023207533</v>
      </c>
      <c r="FI252" s="110">
        <f>IF(SeilBeregnet=0,FI251,(Lwl)^FI$3)</f>
        <v>1.7434841068143216</v>
      </c>
      <c r="FJ252" s="110">
        <f>IF(SeilBeregnet=0,"-",FJ$7*(FL:FL+FJ$6)*FO:FO*PropF+ErfaringsF+Dyp_F)</f>
        <v>1.2997311137140388</v>
      </c>
      <c r="FK252" s="144">
        <f t="shared" si="2029"/>
        <v>0.29437226134856331</v>
      </c>
      <c r="FL252" s="110">
        <f>(FM:FM*FN:FN)^FL$3</f>
        <v>10.336138202920408</v>
      </c>
      <c r="FM252" s="136">
        <f>IF(SeilBeregnet=0,FM251,(SeilBeregnet^0.5/(Depl^0.3333))^FM$3)</f>
        <v>4.655964454472751</v>
      </c>
      <c r="FN252" s="136">
        <f>IF(SeilBeregnet=0,FN251,(Loa/Bredde)^FN$3)</f>
        <v>2.2199779023207533</v>
      </c>
      <c r="FO252" s="110">
        <f>IF(SeilBeregnet=0,FO251,Lwl^FO$3)</f>
        <v>1.7434841068143216</v>
      </c>
      <c r="FQ252" s="374">
        <v>1</v>
      </c>
      <c r="FR252" s="64">
        <f t="shared" si="1902"/>
        <v>1.4402727974742588</v>
      </c>
      <c r="FS252" s="479"/>
      <c r="FT252" s="18"/>
      <c r="FU252" s="481"/>
      <c r="FV252" s="504"/>
      <c r="FW252" s="18"/>
      <c r="FX252" s="18"/>
      <c r="FY252" s="18"/>
      <c r="FZ252" s="18"/>
      <c r="GB252" s="18"/>
      <c r="GC252" s="481"/>
      <c r="GD252" s="8"/>
      <c r="GE252" s="8"/>
      <c r="GF252" s="8"/>
      <c r="GG252" s="8"/>
      <c r="GI252" s="18"/>
      <c r="GJ252" s="18"/>
      <c r="GK252" s="18"/>
      <c r="GL252" s="18"/>
      <c r="GM252" s="18"/>
      <c r="GN252" s="18"/>
      <c r="GO252" s="18"/>
      <c r="GP252" s="18"/>
    </row>
    <row r="253" spans="1:198" ht="15.6" x14ac:dyDescent="0.3">
      <c r="A253" s="54" t="s">
        <v>255</v>
      </c>
      <c r="B253" s="223">
        <f t="shared" si="1970"/>
        <v>50.393700787401571</v>
      </c>
      <c r="C253" s="55" t="s">
        <v>41</v>
      </c>
      <c r="D253" s="55"/>
      <c r="E253" s="55"/>
      <c r="F253" s="55"/>
      <c r="G253" s="56"/>
      <c r="H253" s="209"/>
      <c r="I253" s="126" t="str">
        <f>A253</f>
        <v>ERNA HELENA</v>
      </c>
      <c r="J253" s="229"/>
      <c r="K253" s="119"/>
      <c r="L253" s="119"/>
      <c r="M253" s="95"/>
      <c r="N253" s="265"/>
      <c r="O253" s="169"/>
      <c r="P253" s="169">
        <v>61</v>
      </c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>
        <v>74</v>
      </c>
      <c r="AC253" s="169"/>
      <c r="AD253" s="169"/>
      <c r="AE253" s="263">
        <f>Loa*1.2</f>
        <v>18.431999999999999</v>
      </c>
      <c r="AF253" s="296"/>
      <c r="AG253" s="377"/>
      <c r="AH253" s="296"/>
      <c r="AI253" s="377"/>
      <c r="AJ253" s="296" t="s">
        <v>240</v>
      </c>
      <c r="AK253" s="47">
        <f>VLOOKUP(AJ253,Skrogform!$1:$1048576,3,FALSE)</f>
        <v>1</v>
      </c>
      <c r="AL253" s="57">
        <v>15.36</v>
      </c>
      <c r="AM253" s="57">
        <v>9.5</v>
      </c>
      <c r="AN253" s="57">
        <v>3.1</v>
      </c>
      <c r="AO253" s="57">
        <v>2.1</v>
      </c>
      <c r="AP253" s="57">
        <v>13</v>
      </c>
      <c r="AQ253" s="57"/>
      <c r="AR253" s="57"/>
      <c r="AS253" s="281"/>
      <c r="AT253" s="282">
        <f>AS253*7</f>
        <v>0</v>
      </c>
      <c r="AU253" s="281">
        <f>ROUND(Depl*10,-2)</f>
        <v>100</v>
      </c>
      <c r="AV253" s="281">
        <f>ROUND(Depl*10,-2)</f>
        <v>100</v>
      </c>
      <c r="AW253" s="270">
        <f>Depl+Diesel/1000+Vann/1000</f>
        <v>13.2</v>
      </c>
      <c r="AX253" s="281"/>
      <c r="AY253" s="98">
        <f>Bredde/(Loa+Lwl)*2</f>
        <v>0.24939662107803701</v>
      </c>
      <c r="AZ253" s="98">
        <f>(Kjøl+Ballast)/Depl</f>
        <v>0</v>
      </c>
      <c r="BA253" s="288">
        <f>BA$7*((Depl-Kjøl-Ballast-VektMotor/1000-VektAnnet/1000)/Loa/Lwl/Bredde)</f>
        <v>1.24346323934671</v>
      </c>
      <c r="BB253" s="98">
        <f>BB$7*(Depl/Loa/Lwl/Lwl)</f>
        <v>0.70419524050963889</v>
      </c>
      <c r="BC253" s="178">
        <f>BC$7*(Depl/Loa/Lwl/Bredde)</f>
        <v>0.79767743857411411</v>
      </c>
      <c r="BD253" s="98">
        <f>BD$7*Bredde/(Loa+Lwl)*2</f>
        <v>0.71145079109680887</v>
      </c>
      <c r="BE253" s="98">
        <f>BE$7*(Dypg/Lwl)</f>
        <v>1.2090617848970253</v>
      </c>
      <c r="BF253" s="58"/>
      <c r="BG253" s="296"/>
      <c r="BH253" s="296"/>
      <c r="BI253" s="47">
        <f t="shared" si="1903"/>
        <v>1</v>
      </c>
      <c r="BJ253" s="61"/>
      <c r="BK253" s="61"/>
      <c r="BM253" s="214"/>
      <c r="BN253" s="214" t="str">
        <f>$A253</f>
        <v>ERNA HELENA</v>
      </c>
      <c r="BO253" s="10"/>
      <c r="BP253" s="10"/>
      <c r="BQ253" s="10"/>
      <c r="BR253" s="10"/>
      <c r="BS253" s="52"/>
      <c r="BT253" s="214" t="str">
        <f>$A253</f>
        <v>ERNA HELENA</v>
      </c>
      <c r="BU253" s="10"/>
      <c r="BV253" s="10"/>
      <c r="BW253" s="10"/>
      <c r="BX253" s="10"/>
      <c r="BY253" s="10"/>
      <c r="BZ253" s="10"/>
      <c r="CA253" s="10">
        <f>IF(AB253=0,0,AB253*CA$9)</f>
        <v>74</v>
      </c>
      <c r="CB253" s="10"/>
      <c r="CC253" s="10"/>
      <c r="CD253" s="214"/>
      <c r="CE253" s="10"/>
      <c r="CF253" s="214" t="str">
        <f>$A253</f>
        <v>ERNA HELENA</v>
      </c>
      <c r="CG253" s="212"/>
      <c r="CH253" s="212"/>
      <c r="CI253" s="119"/>
      <c r="CJ253" s="212"/>
      <c r="CK253" s="208"/>
      <c r="CL253" s="208" t="s">
        <v>26</v>
      </c>
      <c r="CM253" s="110" t="str">
        <f t="shared" si="1772"/>
        <v>-</v>
      </c>
      <c r="CN253" s="64" t="str">
        <f>IF(SeilBeregnet=0,"-",(SeilBeregnet)^(1/2)*StHfaktor/(Depl+DeplTillegg/1000+Vann/1000+Diesel/1000*0.84)^(1/3))</f>
        <v>-</v>
      </c>
      <c r="CO253" s="64" t="str">
        <f t="shared" si="1759"/>
        <v>-</v>
      </c>
      <c r="CP253" s="64" t="str">
        <f t="shared" si="1760"/>
        <v>-</v>
      </c>
      <c r="CQ253" s="110" t="str">
        <f t="shared" si="1761"/>
        <v>-</v>
      </c>
      <c r="CR253" s="172" t="str">
        <f t="shared" si="2004"/>
        <v>-</v>
      </c>
      <c r="CS253" s="162"/>
      <c r="CT253" s="172" t="str">
        <f t="shared" si="1895"/>
        <v>-</v>
      </c>
      <c r="CU253" s="164">
        <v>1.48</v>
      </c>
      <c r="CV253" s="195" t="s">
        <v>145</v>
      </c>
      <c r="CW253" s="30" t="s">
        <v>26</v>
      </c>
      <c r="CX253" s="30" t="s">
        <v>26</v>
      </c>
      <c r="CY253" s="30" t="s">
        <v>26</v>
      </c>
      <c r="CZ253" s="153">
        <v>2022</v>
      </c>
      <c r="DA253" s="64" t="str">
        <f t="shared" si="1951"/>
        <v>-</v>
      </c>
      <c r="DB253" s="49">
        <f t="shared" si="1904"/>
        <v>15.441176470588236</v>
      </c>
      <c r="DC253" s="50">
        <f t="shared" si="1905"/>
        <v>0</v>
      </c>
      <c r="DE253" s="110" t="str">
        <f>IF(SeilBeregnet=0,"-",DE$7*(DG:DG+DE$6)*DL:DL*PropF+ErfaringsF+Dyp_F)</f>
        <v>-</v>
      </c>
      <c r="DF253" s="144" t="str">
        <f t="shared" si="2024"/>
        <v>-</v>
      </c>
      <c r="DG253" s="110">
        <f t="shared" si="1959"/>
        <v>6.6541724744080089</v>
      </c>
      <c r="DH253" s="136">
        <f>IF(SeilBeregnet=0,DH248,(SeilBeregnet^0.5/(Depl^0.3333))^DH$3*DH$7)</f>
        <v>4.2955894448572645</v>
      </c>
      <c r="DI253" s="136">
        <f>IF(SeilBeregnet=0,DI248,(SeilBeregnet^0.5/Lwl)^DI$3*DI$7)</f>
        <v>0</v>
      </c>
      <c r="DJ253" s="136">
        <f>IF(SeilBeregnet=0,DJ248,(0.1*Loa/Depl^0.3333)^DJ$3*DJ$7)</f>
        <v>0</v>
      </c>
      <c r="DK253" s="136">
        <f>IF(SeilBeregnet=0,DK248,((Loa)/Bredde)^DK$3*DK$7)</f>
        <v>2.3585830295507444</v>
      </c>
      <c r="DL253" s="110">
        <f>IF(SeilBeregnet=0,DL248,(Lwl)^DL$3)</f>
        <v>1.7320508075688774</v>
      </c>
      <c r="DM253" s="136">
        <f>IF(SeilBeregnet=0,DM248,(Dypg/Loa)^DM$3*5*DM$7)</f>
        <v>1.6814817728363731</v>
      </c>
      <c r="DO253" s="110" t="str">
        <f t="shared" si="1978"/>
        <v>-</v>
      </c>
      <c r="DP253" s="110" t="str">
        <f t="shared" si="1952"/>
        <v>-</v>
      </c>
      <c r="DR253" s="110" t="str">
        <f t="shared" si="1953"/>
        <v>-</v>
      </c>
      <c r="DS253" s="125" t="str">
        <f t="shared" si="2025"/>
        <v>-</v>
      </c>
      <c r="DT253" s="110" t="str">
        <f t="shared" si="1966"/>
        <v>-</v>
      </c>
      <c r="DU253" s="125" t="str">
        <f t="shared" si="2026"/>
        <v>-</v>
      </c>
      <c r="DV253" s="110">
        <f>IF(SeilBeregnet=0,DV248,SeilBeregnet^0.5/Depl^0.33333)</f>
        <v>4.2952589184925829</v>
      </c>
      <c r="DW253" s="110">
        <f>IF(SeilBeregnet=0,DW248,Lwl^0.3333)</f>
        <v>2.0799314815874812</v>
      </c>
      <c r="DX253" s="110">
        <f>IF(SeilBeregnet=0,DX248,((Loa+Lwl)/Bredde)^DX$3)</f>
        <v>1.7096341754377391</v>
      </c>
      <c r="DZ253" s="110" t="str">
        <f t="shared" si="1967"/>
        <v>-</v>
      </c>
      <c r="EB253" s="110">
        <f>IF(SeilBeregnet=0,EB248,SeilBeregnet^0.5/Depl^0.33333)</f>
        <v>4.2952589184925829</v>
      </c>
      <c r="EC253" s="110">
        <f>IF(SeilBeregnet=0,EC248,Lwl^EC$3)</f>
        <v>2.0800685884033645</v>
      </c>
      <c r="ED253" s="110">
        <f>IF(SeilBeregnet=0,ED248,((Loa+Lwl)/Bredde)^ED$3)</f>
        <v>2.0441206893288659</v>
      </c>
      <c r="EE253" s="110" t="str">
        <f t="shared" si="1968"/>
        <v>-</v>
      </c>
      <c r="EG253" s="110">
        <f>IF(SeilBeregnet=0,EG248,(EH253*EI253)^EG$3)</f>
        <v>7.3433214394086619</v>
      </c>
      <c r="EH253" s="110">
        <f>IF(SeilBeregnet=0,EH248,SeilBeregnet^0.5/Depl^0.33333)</f>
        <v>4.2952589184925829</v>
      </c>
      <c r="EI253" s="110">
        <f>IF(SeilBeregnet=0,EI248,((Loa+Lwl)/Bredde)^EI$3)</f>
        <v>1.7096341754377391</v>
      </c>
      <c r="EJ253" s="110">
        <f>IF(SeilBeregnet=0,EJ248,Lwl^EJ$3)</f>
        <v>1.7320508075688774</v>
      </c>
      <c r="EK253" s="110" t="str">
        <f>IF(SeilBeregnet=0,"-",EK$7*(EK$4*EM:EM+EK$6)*EP:EP*PropF+ErfaringsF+Dyp_F)</f>
        <v>-</v>
      </c>
      <c r="EM253" s="110">
        <f>IF(SeilBeregnet=0,EM248,(EN:EN*EO:EO)^EM$3)</f>
        <v>2.1660943183467278</v>
      </c>
      <c r="EN253" s="110">
        <f>IF(SeilBeregnet=0,EN248,SeilBeregnet^0.5/Depl^0.33333)</f>
        <v>4.2952589184925829</v>
      </c>
      <c r="EO253" s="110">
        <f>IF(SeilBeregnet=0,EO248,((Loa+Lwl)/Bredde/6)^EO$3)</f>
        <v>1.0923589671797054</v>
      </c>
      <c r="EP253" s="110">
        <f>IF(SeilBeregnet=0,EP248,(Lwl*0.7+Loa*0.3)^EP$3)</f>
        <v>1.8350726547187572</v>
      </c>
      <c r="EQ253" s="110" t="str">
        <f>IF(SeilBeregnet=0,"-",EQ$7*(ES:ES+EQ$6)*EV:EV*PropF+ErfaringsF+Dyp_F)</f>
        <v>-</v>
      </c>
      <c r="ES253" s="110">
        <f>(ET:ET*EU:EU)^ES$3</f>
        <v>2.1661776587833983</v>
      </c>
      <c r="ET253" s="110">
        <f>IF(SeilBeregnet=0,ET248,SeilBeregnet^0.5/Depl^0.3333)</f>
        <v>4.2955894448572645</v>
      </c>
      <c r="EU253" s="110">
        <f>IF(SeilBeregnet=0,EU248,((Loa+Lwl)/Bredde/6)^EU$3)</f>
        <v>1.0923589671797054</v>
      </c>
      <c r="EV253" s="110">
        <f>IF(SeilBeregnet=0,EV248,(Lwl*0.7+Loa*0.3)^EV$3)</f>
        <v>1.8350726547187572</v>
      </c>
      <c r="EW253" s="110" t="str">
        <f>IF(SeilBeregnet=0,"-",EW$7*(EY:EY+EW$6)*FB:FB*PropF+ErfaringsF+Dyp_F)</f>
        <v>-</v>
      </c>
      <c r="EX253" s="144" t="str">
        <f t="shared" si="2027"/>
        <v>-</v>
      </c>
      <c r="EY253" s="110">
        <f>(EZ:EZ*FA:FA)^EY$3</f>
        <v>5.1257040000628891</v>
      </c>
      <c r="EZ253" s="136">
        <f>IF(SeilBeregnet=0,EZ248,(SeilBeregnet^0.5/(Depl^0.3333))^EZ$3)</f>
        <v>4.2955894448572645</v>
      </c>
      <c r="FA253" s="136">
        <f>IF(SeilBeregnet=0,FA248,((Loa+Lwl)/Bredde/6)^FA$3)</f>
        <v>1.1932481131779129</v>
      </c>
      <c r="FB253" s="110">
        <f>IF(SeilBeregnet=0,FB248,(Lwl*0.07+Loa*0.03)^FB$3)</f>
        <v>1.0319371884751178</v>
      </c>
      <c r="FC253" s="110" t="str">
        <f>IF(SeilBeregnet=0,"-",FC$7*(FE:FE+FC$6)*FI:FI*PropF+ErfaringsF+Dyp_F)</f>
        <v>-</v>
      </c>
      <c r="FD253" s="144" t="str">
        <f t="shared" si="2028"/>
        <v>-</v>
      </c>
      <c r="FE253" s="110">
        <f>(FF:FF+FG:FG+FH:FH)^FE$3+FE$7</f>
        <v>7.2763396897815733</v>
      </c>
      <c r="FF253" s="136">
        <f>IF(SeilBeregnet=0,FF248,(SeilBeregnet^0.5/(Depl^0.3333))^FF$3)</f>
        <v>4.2955894448572645</v>
      </c>
      <c r="FG253" s="136">
        <f>IF(SeilBeregnet=0,FG248,(SeilBeregnet^0.5/Lwl*FG$7)^FG$3)</f>
        <v>1.1221672153735642</v>
      </c>
      <c r="FH253" s="136">
        <f>IF(SeilBeregnet=0,FH248,((Loa)/Bredde)^FH$3*FH$7)</f>
        <v>2.3585830295507444</v>
      </c>
      <c r="FI253" s="110">
        <f>IF(SeilBeregnet=0,FI248,(Lwl)^FI$3)</f>
        <v>1.7320508075688774</v>
      </c>
      <c r="FJ253" s="110" t="str">
        <f>IF(SeilBeregnet=0,"-",FJ$7*(FL:FL+FJ$6)*FO:FO*PropF+ErfaringsF+Dyp_F)</f>
        <v>-</v>
      </c>
      <c r="FK253" s="144" t="str">
        <f t="shared" si="2029"/>
        <v>-</v>
      </c>
      <c r="FL253" s="110">
        <f>(FM:FM*FN:FN)^FL$3</f>
        <v>10.131504366557648</v>
      </c>
      <c r="FM253" s="136">
        <f>IF(SeilBeregnet=0,FM248,(SeilBeregnet^0.5/(Depl^0.3333))^FM$3)</f>
        <v>4.2955894448572645</v>
      </c>
      <c r="FN253" s="136">
        <f>IF(SeilBeregnet=0,FN248,(Loa/Bredde)^FN$3)</f>
        <v>2.3585830295507444</v>
      </c>
      <c r="FO253" s="110">
        <f>IF(SeilBeregnet=0,FO248,Lwl^FO$3)</f>
        <v>1.7320508075688774</v>
      </c>
      <c r="FQ253" s="374">
        <v>1</v>
      </c>
      <c r="FR253" s="64" t="str">
        <f t="shared" si="1902"/>
        <v>-</v>
      </c>
      <c r="FS253" s="480"/>
      <c r="FT253" s="59"/>
      <c r="FU253" s="475"/>
      <c r="FV253" s="77"/>
      <c r="FW253" s="59"/>
      <c r="FX253" s="59"/>
      <c r="FY253" s="59"/>
      <c r="FZ253" s="59"/>
      <c r="GB253" s="59" t="s">
        <v>522</v>
      </c>
      <c r="GC253" s="475" t="s">
        <v>522</v>
      </c>
      <c r="GD253" s="60" t="s">
        <v>522</v>
      </c>
      <c r="GE253" s="60" t="s">
        <v>522</v>
      </c>
      <c r="GF253" s="60" t="s">
        <v>522</v>
      </c>
      <c r="GG253" s="60" t="s">
        <v>522</v>
      </c>
      <c r="GI253" s="59"/>
      <c r="GJ253" s="59"/>
      <c r="GK253" s="59"/>
      <c r="GL253" s="59"/>
      <c r="GM253" s="59"/>
      <c r="GN253" s="59"/>
      <c r="GO253" s="59"/>
      <c r="GP253" s="59"/>
    </row>
    <row r="254" spans="1:198" ht="15.6" x14ac:dyDescent="0.3">
      <c r="A254" s="62" t="s">
        <v>71</v>
      </c>
      <c r="B254" s="223"/>
      <c r="C254" s="63" t="str">
        <f>C253</f>
        <v>Bermuda</v>
      </c>
      <c r="D254" s="63"/>
      <c r="E254" s="63"/>
      <c r="F254" s="63"/>
      <c r="G254" s="56"/>
      <c r="H254" s="209">
        <f>TBFavrundet</f>
        <v>137</v>
      </c>
      <c r="I254" s="65">
        <f>COUNTA(O254:AD254)</f>
        <v>2</v>
      </c>
      <c r="J254" s="228">
        <f>SUM(O254:AD254)</f>
        <v>135</v>
      </c>
      <c r="K254" s="119">
        <f>Seilareal/Depl^0.667/K$7</f>
        <v>2.230678150918318</v>
      </c>
      <c r="L254" s="119">
        <f>Seilareal/Lwl/Lwl/L$7</f>
        <v>2.2696742562871326</v>
      </c>
      <c r="M254" s="95">
        <f>RiggF</f>
        <v>1</v>
      </c>
      <c r="N254" s="265">
        <f>StHfaktor</f>
        <v>1.0863783622955085</v>
      </c>
      <c r="O254" s="147"/>
      <c r="P254" s="169">
        <v>61</v>
      </c>
      <c r="Q254" s="147"/>
      <c r="R254" s="147"/>
      <c r="S254" s="147"/>
      <c r="T254" s="147"/>
      <c r="U254" s="148"/>
      <c r="V254" s="148"/>
      <c r="W254" s="148"/>
      <c r="X254" s="148"/>
      <c r="Y254" s="147"/>
      <c r="Z254" s="147"/>
      <c r="AA254" s="147"/>
      <c r="AB254" s="169">
        <v>74</v>
      </c>
      <c r="AC254" s="147"/>
      <c r="AD254" s="148"/>
      <c r="AE254" s="260">
        <f>AE253</f>
        <v>18.431999999999999</v>
      </c>
      <c r="AF254" s="375">
        <f t="shared" ref="AF254:AH255" si="2038" xml:space="preserve"> AF253</f>
        <v>0</v>
      </c>
      <c r="AG254" s="377"/>
      <c r="AH254" s="375">
        <f t="shared" si="2038"/>
        <v>0</v>
      </c>
      <c r="AI254" s="377"/>
      <c r="AJ254" s="295" t="str">
        <f xml:space="preserve"> AJ253</f>
        <v>Meter</v>
      </c>
      <c r="AK254" s="47">
        <f>VLOOKUP(AJ254,Skrogform!$1:$1048576,3,FALSE)</f>
        <v>1</v>
      </c>
      <c r="AL254" s="66">
        <f t="shared" ref="AL254:AT254" si="2039">AL253</f>
        <v>15.36</v>
      </c>
      <c r="AM254" s="66">
        <f t="shared" si="2039"/>
        <v>9.5</v>
      </c>
      <c r="AN254" s="66">
        <f t="shared" si="2039"/>
        <v>3.1</v>
      </c>
      <c r="AO254" s="66">
        <f t="shared" si="2039"/>
        <v>2.1</v>
      </c>
      <c r="AP254" s="66">
        <f t="shared" si="2039"/>
        <v>13</v>
      </c>
      <c r="AQ254" s="66">
        <f t="shared" si="2039"/>
        <v>0</v>
      </c>
      <c r="AR254" s="66">
        <f t="shared" si="2039"/>
        <v>0</v>
      </c>
      <c r="AS254" s="284">
        <f t="shared" si="2039"/>
        <v>0</v>
      </c>
      <c r="AT254" s="284">
        <f t="shared" si="2039"/>
        <v>0</v>
      </c>
      <c r="AU254" s="284">
        <f t="shared" ref="AU254:AV254" si="2040">AU253</f>
        <v>100</v>
      </c>
      <c r="AV254" s="284">
        <f t="shared" si="2040"/>
        <v>100</v>
      </c>
      <c r="AW254" s="284"/>
      <c r="AX254" s="284">
        <f>AX253</f>
        <v>0</v>
      </c>
      <c r="AY254" s="68"/>
      <c r="AZ254" s="68"/>
      <c r="BA254" s="289"/>
      <c r="BB254" s="68"/>
      <c r="BC254" s="179"/>
      <c r="BD254" s="68"/>
      <c r="BE254" s="68"/>
      <c r="BF254" s="67">
        <f t="shared" ref="BF254:BH254" si="2041" xml:space="preserve"> BF253</f>
        <v>0</v>
      </c>
      <c r="BG254" s="295">
        <f t="shared" si="2041"/>
        <v>0</v>
      </c>
      <c r="BH254" s="295">
        <f t="shared" si="2041"/>
        <v>0</v>
      </c>
      <c r="BI254" s="47">
        <f t="shared" si="1903"/>
        <v>1</v>
      </c>
      <c r="BJ254" s="61"/>
      <c r="BK254" s="61"/>
      <c r="BM254" s="51">
        <f t="shared" ref="BM254:BR255" si="2042">IF(O254=0,0,O254*BM$9)</f>
        <v>0</v>
      </c>
      <c r="BN254" s="51">
        <f t="shared" si="2042"/>
        <v>61</v>
      </c>
      <c r="BO254" s="51">
        <f t="shared" si="2042"/>
        <v>0</v>
      </c>
      <c r="BP254" s="51">
        <f t="shared" si="2042"/>
        <v>0</v>
      </c>
      <c r="BQ254" s="51">
        <f t="shared" si="2042"/>
        <v>0</v>
      </c>
      <c r="BR254" s="51">
        <f t="shared" si="2042"/>
        <v>0</v>
      </c>
      <c r="BS254" s="52">
        <f>IF(COUNT(P254:T254)&gt;1,MINA(P254:T254)*BS$9,0)</f>
        <v>0</v>
      </c>
      <c r="BT254" s="88">
        <f t="shared" ref="BT254:BZ255" si="2043">IF(U254=0,0,U254*BT$9)</f>
        <v>0</v>
      </c>
      <c r="BU254" s="88">
        <f t="shared" si="2043"/>
        <v>0</v>
      </c>
      <c r="BV254" s="88">
        <f t="shared" si="2043"/>
        <v>0</v>
      </c>
      <c r="BW254" s="88">
        <f t="shared" si="2043"/>
        <v>0</v>
      </c>
      <c r="BX254" s="88">
        <f t="shared" si="2043"/>
        <v>0</v>
      </c>
      <c r="BY254" s="88">
        <f t="shared" si="2043"/>
        <v>0</v>
      </c>
      <c r="BZ254" s="88">
        <f t="shared" si="2043"/>
        <v>0</v>
      </c>
      <c r="CA254" s="88">
        <f>IF(AB254=0,0,AB254*CA$9)</f>
        <v>74</v>
      </c>
      <c r="CB254" s="88">
        <f>IF(AC254=0,0,AC254*CB$9)</f>
        <v>0</v>
      </c>
      <c r="CC254" s="88">
        <f>IF(AD254=0,0,AD254*CC$9)</f>
        <v>0</v>
      </c>
      <c r="CD254" s="103">
        <f>SUM(BM254:CC254)</f>
        <v>135</v>
      </c>
      <c r="CE254" s="52"/>
      <c r="CF254" s="107">
        <f>J254</f>
        <v>135</v>
      </c>
      <c r="CG254" s="104">
        <f>CD254/CF254</f>
        <v>1</v>
      </c>
      <c r="CH254" s="53">
        <f>Seilareal/Lwl/Lwl</f>
        <v>1.4958448753462605</v>
      </c>
      <c r="CI254" s="119">
        <f>Seilareal/Depl^0.667/K$7</f>
        <v>2.230678150918318</v>
      </c>
      <c r="CJ254" s="53">
        <f>Seilareal/Lwl/Lwl/SApRS1</f>
        <v>2.2696742562871326</v>
      </c>
      <c r="CK254" s="209"/>
      <c r="CL254" s="209">
        <f>(ROUND(TBF/CL$6,3)*CL$6)*CL$4</f>
        <v>137</v>
      </c>
      <c r="CM254" s="110">
        <f t="shared" si="1772"/>
        <v>1.3684303089307943</v>
      </c>
      <c r="CN254" s="64">
        <f>IF(SeilBeregnet=0,"-",(SeilBeregnet)^(1/2)*StHfaktor/(Depl+DeplTillegg/1000+Vann/1000+Diesel/1000*0.84)^(1/3))</f>
        <v>5.316420802215637</v>
      </c>
      <c r="CO254" s="64">
        <f t="shared" si="1759"/>
        <v>2.0024178932867231</v>
      </c>
      <c r="CP254" s="64">
        <f t="shared" si="1760"/>
        <v>1.7556215427832071</v>
      </c>
      <c r="CQ254" s="110">
        <f t="shared" si="1761"/>
        <v>1.0863783622955085</v>
      </c>
      <c r="CR254" s="172" t="str">
        <f t="shared" si="2004"/>
        <v>-</v>
      </c>
      <c r="CS254" s="163">
        <f>CS253</f>
        <v>0</v>
      </c>
      <c r="CT254" s="172">
        <f t="shared" si="1895"/>
        <v>1.1424561403508773</v>
      </c>
      <c r="CU254" s="163">
        <f>CU253</f>
        <v>1.48</v>
      </c>
      <c r="CV254" s="195" t="s">
        <v>145</v>
      </c>
      <c r="CW254" s="64" t="s">
        <v>111</v>
      </c>
      <c r="CX254" s="64" t="s">
        <v>111</v>
      </c>
      <c r="CY254" s="64" t="s">
        <v>111</v>
      </c>
      <c r="CZ254" s="154" t="s">
        <v>111</v>
      </c>
      <c r="DA254" s="64">
        <f t="shared" si="1951"/>
        <v>2.2358112019054555</v>
      </c>
      <c r="DB254" s="49">
        <f t="shared" si="1904"/>
        <v>15.441176470588236</v>
      </c>
      <c r="DC254" s="50">
        <f t="shared" si="1905"/>
        <v>0</v>
      </c>
      <c r="DE254" s="110">
        <f>IF(SeilBeregnet=0,"-",DE$7*(DG:DG+DE$6)*DL:DL*PropF+ErfaringsF+Dyp_F)</f>
        <v>1.2709777800228594</v>
      </c>
      <c r="DF254" s="144" t="str">
        <f t="shared" si="2024"/>
        <v>-</v>
      </c>
      <c r="DG254" s="110">
        <f t="shared" si="1959"/>
        <v>7.1677967656505581</v>
      </c>
      <c r="DH254" s="136">
        <f>IF(SeilBeregnet=0,DH253,(SeilBeregnet^0.5/(Depl^0.3333))^DH$3*DH$7)</f>
        <v>4.9418500660017504</v>
      </c>
      <c r="DI254" s="136">
        <f>IF(SeilBeregnet=0,DI253,(SeilBeregnet^0.5/Lwl)^DI$3*DI$7)</f>
        <v>0</v>
      </c>
      <c r="DJ254" s="136">
        <f>IF(SeilBeregnet=0,DJ253,(0.1*Loa/Depl^0.3333)^DJ$3*DJ$7)</f>
        <v>0</v>
      </c>
      <c r="DK254" s="136">
        <f>IF(SeilBeregnet=0,DK253,((Loa)/Bredde)^DK$3*DK$7)</f>
        <v>2.2259466996488078</v>
      </c>
      <c r="DL254" s="110">
        <f>IF(SeilBeregnet=0,DL253,(Lwl)^DL$3)</f>
        <v>1.7556215427832071</v>
      </c>
      <c r="DM254" s="136">
        <f>IF(SeilBeregnet=0,DM253,(Dypg/Loa)^DM$3*5*DM$7)</f>
        <v>1.84877493221863</v>
      </c>
      <c r="DO254" s="110">
        <f t="shared" si="1978"/>
        <v>1.3684303089307943</v>
      </c>
      <c r="DP254" s="110">
        <f t="shared" si="1952"/>
        <v>1.3585674117475761</v>
      </c>
      <c r="DR254" s="110">
        <f t="shared" si="1953"/>
        <v>1.2979774864572986</v>
      </c>
      <c r="DS254" s="125" t="str">
        <f t="shared" si="2025"/>
        <v>-</v>
      </c>
      <c r="DT254" s="110">
        <f t="shared" si="1966"/>
        <v>1.3291804412549528</v>
      </c>
      <c r="DU254" s="125" t="str">
        <f t="shared" si="2026"/>
        <v>-</v>
      </c>
      <c r="DV254" s="110">
        <f t="shared" ref="DV254:DV255" si="2044">IF(SeilBeregnet=0,DV253,SeilBeregnet^0.5/Depl^0.33333)</f>
        <v>4.9414698127773482</v>
      </c>
      <c r="DW254" s="110">
        <f t="shared" ref="DW254:DW255" si="2045">IF(SeilBeregnet=0,DW253,Lwl^0.3333)</f>
        <v>2.1177528635091734</v>
      </c>
      <c r="DX254" s="110">
        <f>IF(SeilBeregnet=0,DX253,((Loa+Lwl)/Bredde)^DX$3)</f>
        <v>1.6828091223381947</v>
      </c>
      <c r="DZ254" s="110">
        <f t="shared" si="1967"/>
        <v>1.312017029182023</v>
      </c>
      <c r="EB254" s="110">
        <f t="shared" ref="EB254:EB255" si="2046">IF(SeilBeregnet=0,EB253,SeilBeregnet^0.5/Depl^0.33333)</f>
        <v>4.9414698127773482</v>
      </c>
      <c r="EC254" s="110">
        <f>IF(SeilBeregnet=0,EC253,Lwl^EC$3)</f>
        <v>2.1178958987289218</v>
      </c>
      <c r="ED254" s="110">
        <f>IF(SeilBeregnet=0,ED253,((Loa+Lwl)/Bredde)^ED$3)</f>
        <v>2.0014727066930025</v>
      </c>
      <c r="EE254" s="110">
        <f t="shared" si="1968"/>
        <v>1.3038166744661839</v>
      </c>
      <c r="EG254" s="110">
        <f>IF(SeilBeregnet=0,EG253,(EH254*EI254)^EG$3)</f>
        <v>8.3155504787005317</v>
      </c>
      <c r="EH254" s="110">
        <f t="shared" ref="EH254:EH255" si="2047">IF(SeilBeregnet=0,EH253,SeilBeregnet^0.5/Depl^0.33333)</f>
        <v>4.9414698127773482</v>
      </c>
      <c r="EI254" s="110">
        <f>IF(SeilBeregnet=0,EI253,((Loa+Lwl)/Bredde)^EI$3)</f>
        <v>1.6828091223381947</v>
      </c>
      <c r="EJ254" s="110">
        <f>IF(SeilBeregnet=0,EJ253,Lwl^EJ$3)</f>
        <v>1.7556215427832071</v>
      </c>
      <c r="EK254" s="110">
        <f>IF(SeilBeregnet=0,"-",EK$7*(EK$4*EM:EM+EK$6)*EP:EP*PropF+ErfaringsF+Dyp_F)</f>
        <v>1.2837372531316573</v>
      </c>
      <c r="EM254" s="110">
        <f>IF(SeilBeregnet=0,EM253,(EN:EN*EO:EO)^EM$3)</f>
        <v>2.3050300727707427</v>
      </c>
      <c r="EN254" s="110">
        <f t="shared" ref="EN254:EN255" si="2048">IF(SeilBeregnet=0,EN253,SeilBeregnet^0.5/Depl^0.33333)</f>
        <v>4.9414698127773482</v>
      </c>
      <c r="EO254" s="110">
        <f>IF(SeilBeregnet=0,EO253,((Loa+Lwl)/Bredde/6)^EO$3)</f>
        <v>1.0752192844807114</v>
      </c>
      <c r="EP254" s="110">
        <f>IF(SeilBeregnet=0,EP253,(Lwl*0.7+Loa*0.3)^EP$3)</f>
        <v>1.8317462498666843</v>
      </c>
      <c r="EQ254" s="110">
        <f>IF(SeilBeregnet=0,"-",EQ$7*(ES:ES+EQ$6)*EV:EV*PropF+ErfaringsF+Dyp_F)</f>
        <v>1.1554112151356839</v>
      </c>
      <c r="ES254" s="110">
        <f>(ET:ET*EU:EU)^ES$3</f>
        <v>2.3051187587578559</v>
      </c>
      <c r="ET254" s="110">
        <f t="shared" ref="ET254:ET255" si="2049">IF(SeilBeregnet=0,ET253,SeilBeregnet^0.5/Depl^0.3333)</f>
        <v>4.9418500660017504</v>
      </c>
      <c r="EU254" s="110">
        <f>IF(SeilBeregnet=0,EU253,((Loa+Lwl)/Bredde/6)^EU$3)</f>
        <v>1.0752192844807114</v>
      </c>
      <c r="EV254" s="110">
        <f>IF(SeilBeregnet=0,EV253,(Lwl*0.7+Loa*0.3)^EV$3)</f>
        <v>1.8317462498666843</v>
      </c>
      <c r="EW254" s="110">
        <f>IF(SeilBeregnet=0,"-",EW$7*(EY:EY+EW$6)*FB:FB*PropF+ErfaringsF+Dyp_F)</f>
        <v>1.3586235721644195</v>
      </c>
      <c r="EX254" s="144" t="str">
        <f t="shared" si="2027"/>
        <v>-</v>
      </c>
      <c r="EY254" s="110">
        <f>(EZ:EZ*FA:FA)^EY$3</f>
        <v>5.7132556128602863</v>
      </c>
      <c r="EZ254" s="136">
        <f>IF(SeilBeregnet=0,EZ253,(SeilBeregnet^0.5/(Depl^0.3333))^EZ$3)</f>
        <v>4.9418500660017504</v>
      </c>
      <c r="FA254" s="136">
        <f>IF(SeilBeregnet=0,FA253,((Loa+Lwl)/Bredde/6)^FA$3)</f>
        <v>1.1560965097192131</v>
      </c>
      <c r="FB254" s="110">
        <f>IF(SeilBeregnet=0,FB253,(Lwl*0.07+Loa*0.03)^FB$3)</f>
        <v>1.0300666135624836</v>
      </c>
      <c r="FC254" s="110">
        <f>IF(SeilBeregnet=0,"-",FC$7*(FE:FE+FC$6)*FI:FI*PropF+ErfaringsF+Dyp_F)</f>
        <v>1.3299202521271778</v>
      </c>
      <c r="FD254" s="144" t="str">
        <f t="shared" si="2028"/>
        <v>-</v>
      </c>
      <c r="FE254" s="110">
        <f>(FF:FF+FG:FG+FH:FH)^FE$3+FE$7</f>
        <v>7.8908441381371119</v>
      </c>
      <c r="FF254" s="136">
        <f>IF(SeilBeregnet=0,FF253,(SeilBeregnet^0.5/(Depl^0.3333))^FF$3)</f>
        <v>4.9418500660017504</v>
      </c>
      <c r="FG254" s="136">
        <f>IF(SeilBeregnet=0,FG253,(SeilBeregnet^0.5/Lwl*FG$7)^FG$3)</f>
        <v>1.2230473724865527</v>
      </c>
      <c r="FH254" s="136">
        <f>IF(SeilBeregnet=0,FH253,((Loa)/Bredde)^FH$3*FH$7)</f>
        <v>2.2259466996488078</v>
      </c>
      <c r="FI254" s="110">
        <f>IF(SeilBeregnet=0,FI253,(Lwl)^FI$3)</f>
        <v>1.7556215427832071</v>
      </c>
      <c r="FJ254" s="110">
        <f>IF(SeilBeregnet=0,"-",FJ$7*(FL:FL+FJ$6)*FO:FO*PropF+ErfaringsF+Dyp_F)</f>
        <v>1.3694117204163356</v>
      </c>
      <c r="FK254" s="144" t="str">
        <f t="shared" si="2029"/>
        <v>-</v>
      </c>
      <c r="FL254" s="110">
        <f>(FM:FM*FN:FN)^FL$3</f>
        <v>11.000294844575839</v>
      </c>
      <c r="FM254" s="136">
        <f>IF(SeilBeregnet=0,FM253,(SeilBeregnet^0.5/(Depl^0.3333))^FM$3)</f>
        <v>4.9418500660017504</v>
      </c>
      <c r="FN254" s="136">
        <f>IF(SeilBeregnet=0,FN253,(Loa/Bredde)^FN$3)</f>
        <v>2.2259466996488078</v>
      </c>
      <c r="FO254" s="110">
        <f>IF(SeilBeregnet=0,FO253,Lwl^FO$3)</f>
        <v>1.7556215427832071</v>
      </c>
      <c r="FQ254" s="374">
        <v>1</v>
      </c>
      <c r="FR254" s="64">
        <f t="shared" si="1902"/>
        <v>1.480493067625261</v>
      </c>
      <c r="FS254" s="479"/>
      <c r="FT254" s="18"/>
      <c r="FU254" s="481"/>
      <c r="FV254" s="504"/>
      <c r="FW254" s="18"/>
      <c r="FX254" s="18"/>
      <c r="FY254" s="18"/>
      <c r="FZ254" s="18"/>
      <c r="GB254" s="18"/>
      <c r="GC254" s="481"/>
      <c r="GD254" s="8"/>
      <c r="GE254" s="8"/>
      <c r="GF254" s="8"/>
      <c r="GG254" s="8"/>
      <c r="GI254" s="18"/>
      <c r="GJ254" s="18"/>
      <c r="GK254" s="18"/>
      <c r="GL254" s="18"/>
      <c r="GM254" s="18"/>
      <c r="GN254" s="18"/>
      <c r="GO254" s="18"/>
      <c r="GP254" s="18"/>
    </row>
    <row r="255" spans="1:198" ht="15.6" x14ac:dyDescent="0.3">
      <c r="A255" s="62"/>
      <c r="B255" s="223"/>
      <c r="C255" s="63" t="str">
        <f t="shared" ref="C255" si="2050">C254</f>
        <v>Bermuda</v>
      </c>
      <c r="D255" s="63"/>
      <c r="E255" s="63"/>
      <c r="F255" s="63"/>
      <c r="G255" s="56"/>
      <c r="H255" s="209" t="e">
        <f>TBFavrundet</f>
        <v>#VALUE!</v>
      </c>
      <c r="I255" s="65">
        <f>COUNTA(O255:AD255)</f>
        <v>0</v>
      </c>
      <c r="J255" s="228">
        <f>SUM(O255:AD255)</f>
        <v>0</v>
      </c>
      <c r="K255" s="119">
        <f>Seilareal/Depl^0.667/K$7</f>
        <v>0</v>
      </c>
      <c r="L255" s="119">
        <f>Seilareal/Lwl/Lwl/L$7</f>
        <v>0</v>
      </c>
      <c r="M255" s="95" t="e">
        <f>RiggF</f>
        <v>#DIV/0!</v>
      </c>
      <c r="N255" s="265" t="str">
        <f>StHfaktor</f>
        <v>-</v>
      </c>
      <c r="O255" s="147"/>
      <c r="P255" s="147"/>
      <c r="Q255" s="147"/>
      <c r="R255" s="147"/>
      <c r="S255" s="147"/>
      <c r="T255" s="147"/>
      <c r="U255" s="148"/>
      <c r="V255" s="148"/>
      <c r="W255" s="148"/>
      <c r="X255" s="148"/>
      <c r="Y255" s="147"/>
      <c r="Z255" s="147"/>
      <c r="AA255" s="147"/>
      <c r="AB255" s="147"/>
      <c r="AC255" s="147"/>
      <c r="AD255" s="148"/>
      <c r="AE255" s="260">
        <f>AE254</f>
        <v>18.431999999999999</v>
      </c>
      <c r="AF255" s="375">
        <f t="shared" si="2038"/>
        <v>0</v>
      </c>
      <c r="AG255" s="377"/>
      <c r="AH255" s="375">
        <f t="shared" si="2038"/>
        <v>0</v>
      </c>
      <c r="AI255" s="377"/>
      <c r="AJ255" s="295" t="str">
        <f xml:space="preserve"> AJ254</f>
        <v>Meter</v>
      </c>
      <c r="AK255" s="47">
        <f>VLOOKUP(AJ255,Skrogform!$1:$1048576,3,FALSE)</f>
        <v>1</v>
      </c>
      <c r="AL255" s="66">
        <f t="shared" ref="AL255:AT255" si="2051">AL254</f>
        <v>15.36</v>
      </c>
      <c r="AM255" s="66">
        <f t="shared" si="2051"/>
        <v>9.5</v>
      </c>
      <c r="AN255" s="66">
        <f t="shared" si="2051"/>
        <v>3.1</v>
      </c>
      <c r="AO255" s="66">
        <f t="shared" si="2051"/>
        <v>2.1</v>
      </c>
      <c r="AP255" s="66">
        <f t="shared" si="2051"/>
        <v>13</v>
      </c>
      <c r="AQ255" s="66">
        <f t="shared" si="2051"/>
        <v>0</v>
      </c>
      <c r="AR255" s="66">
        <f t="shared" si="2051"/>
        <v>0</v>
      </c>
      <c r="AS255" s="284">
        <f t="shared" si="2051"/>
        <v>0</v>
      </c>
      <c r="AT255" s="284">
        <f t="shared" si="2051"/>
        <v>0</v>
      </c>
      <c r="AU255" s="284">
        <f t="shared" ref="AU255:AV255" si="2052">AU254</f>
        <v>100</v>
      </c>
      <c r="AV255" s="284">
        <f t="shared" si="2052"/>
        <v>100</v>
      </c>
      <c r="AW255" s="284"/>
      <c r="AX255" s="284">
        <f>AX254</f>
        <v>0</v>
      </c>
      <c r="AY255" s="68"/>
      <c r="AZ255" s="68"/>
      <c r="BA255" s="289"/>
      <c r="BB255" s="68"/>
      <c r="BC255" s="179"/>
      <c r="BD255" s="68"/>
      <c r="BE255" s="68"/>
      <c r="BF255" s="67">
        <f t="shared" ref="BF255:BH255" si="2053" xml:space="preserve"> BF254</f>
        <v>0</v>
      </c>
      <c r="BG255" s="295">
        <f t="shared" si="2053"/>
        <v>0</v>
      </c>
      <c r="BH255" s="295">
        <f t="shared" si="2053"/>
        <v>0</v>
      </c>
      <c r="BI255" s="47">
        <f t="shared" si="1903"/>
        <v>1</v>
      </c>
      <c r="BJ255" s="61"/>
      <c r="BK255" s="61"/>
      <c r="BM255" s="51">
        <f t="shared" si="2042"/>
        <v>0</v>
      </c>
      <c r="BN255" s="51">
        <f t="shared" si="2042"/>
        <v>0</v>
      </c>
      <c r="BO255" s="51">
        <f t="shared" si="2042"/>
        <v>0</v>
      </c>
      <c r="BP255" s="51">
        <f t="shared" si="2042"/>
        <v>0</v>
      </c>
      <c r="BQ255" s="51">
        <f t="shared" si="2042"/>
        <v>0</v>
      </c>
      <c r="BR255" s="51">
        <f t="shared" si="2042"/>
        <v>0</v>
      </c>
      <c r="BS255" s="52">
        <f>IF(COUNT(P255:T255)&gt;1,MINA(P255:T255)*BS$9,0)</f>
        <v>0</v>
      </c>
      <c r="BT255" s="88">
        <f t="shared" si="2043"/>
        <v>0</v>
      </c>
      <c r="BU255" s="88">
        <f t="shared" si="2043"/>
        <v>0</v>
      </c>
      <c r="BV255" s="88">
        <f t="shared" si="2043"/>
        <v>0</v>
      </c>
      <c r="BW255" s="88">
        <f t="shared" si="2043"/>
        <v>0</v>
      </c>
      <c r="BX255" s="88">
        <f t="shared" si="2043"/>
        <v>0</v>
      </c>
      <c r="BY255" s="88">
        <f t="shared" si="2043"/>
        <v>0</v>
      </c>
      <c r="BZ255" s="88">
        <f t="shared" si="2043"/>
        <v>0</v>
      </c>
      <c r="CA255" s="88">
        <f>IF(AB255=0,0,AB255*CA$9)</f>
        <v>0</v>
      </c>
      <c r="CB255" s="88">
        <f>IF(AC255=0,0,AC255*CB$9)</f>
        <v>0</v>
      </c>
      <c r="CC255" s="88">
        <f>IF(AD255=0,0,AD255*CC$9)</f>
        <v>0</v>
      </c>
      <c r="CD255" s="103">
        <f>SUM(BM255:CC255)</f>
        <v>0</v>
      </c>
      <c r="CE255" s="52"/>
      <c r="CF255" s="107">
        <f>J255</f>
        <v>0</v>
      </c>
      <c r="CG255" s="104" t="e">
        <f>CD255/CF255</f>
        <v>#DIV/0!</v>
      </c>
      <c r="CH255" s="53">
        <f>Seilareal/Lwl/Lwl</f>
        <v>0</v>
      </c>
      <c r="CI255" s="119">
        <f>Seilareal/Depl^0.667/K$7</f>
        <v>0</v>
      </c>
      <c r="CJ255" s="53">
        <f>Seilareal/Lwl/Lwl/SApRS1</f>
        <v>0</v>
      </c>
      <c r="CK255" s="209"/>
      <c r="CL255" s="209" t="e">
        <f>(ROUND(TBF/CL$6,3)*CL$6)*CL$4</f>
        <v>#VALUE!</v>
      </c>
      <c r="CM255" s="110" t="str">
        <f t="shared" si="1772"/>
        <v>-</v>
      </c>
      <c r="CN255" s="64" t="str">
        <f>IF(SeilBeregnet=0,"-",(SeilBeregnet)^(1/2)*StHfaktor/(Depl+DeplTillegg/1000+Vann/1000+Diesel/1000*0.84)^(1/3))</f>
        <v>-</v>
      </c>
      <c r="CO255" s="64" t="str">
        <f t="shared" si="1759"/>
        <v>-</v>
      </c>
      <c r="CP255" s="64" t="str">
        <f t="shared" si="1760"/>
        <v>-</v>
      </c>
      <c r="CQ255" s="110" t="str">
        <f t="shared" si="1761"/>
        <v>-</v>
      </c>
      <c r="CR255" s="172" t="str">
        <f t="shared" si="2004"/>
        <v>-</v>
      </c>
      <c r="CS255" s="162"/>
      <c r="CT255" s="172" t="str">
        <f t="shared" si="1895"/>
        <v>-</v>
      </c>
      <c r="CU255" s="164"/>
      <c r="CV255" s="195" t="s">
        <v>145</v>
      </c>
      <c r="CW255" s="64" t="s">
        <v>111</v>
      </c>
      <c r="CX255" s="64" t="s">
        <v>111</v>
      </c>
      <c r="CY255" s="64" t="s">
        <v>111</v>
      </c>
      <c r="CZ255" s="154" t="s">
        <v>111</v>
      </c>
      <c r="DA255" s="64" t="str">
        <f t="shared" si="1951"/>
        <v>-</v>
      </c>
      <c r="DB255" s="49">
        <f t="shared" si="1904"/>
        <v>15.441176470588236</v>
      </c>
      <c r="DC255" s="50">
        <f t="shared" si="1905"/>
        <v>0</v>
      </c>
      <c r="DE255" s="110" t="str">
        <f>IF(SeilBeregnet=0,"-",DE$7*(DG:DG+DE$6)*DL:DL*PropF+ErfaringsF+Dyp_F)</f>
        <v>-</v>
      </c>
      <c r="DF255" s="144" t="str">
        <f t="shared" si="2024"/>
        <v>-</v>
      </c>
      <c r="DG255" s="110">
        <f t="shared" si="1959"/>
        <v>7.1677967656505581</v>
      </c>
      <c r="DH255" s="136">
        <f>IF(SeilBeregnet=0,DH254,(SeilBeregnet^0.5/(Depl^0.3333))^DH$3*DH$7)</f>
        <v>4.9418500660017504</v>
      </c>
      <c r="DI255" s="136">
        <f>IF(SeilBeregnet=0,DI254,(SeilBeregnet^0.5/Lwl)^DI$3*DI$7)</f>
        <v>0</v>
      </c>
      <c r="DJ255" s="136">
        <f>IF(SeilBeregnet=0,DJ254,(0.1*Loa/Depl^0.3333)^DJ$3*DJ$7)</f>
        <v>0</v>
      </c>
      <c r="DK255" s="136">
        <f>IF(SeilBeregnet=0,DK254,((Loa)/Bredde)^DK$3*DK$7)</f>
        <v>2.2259466996488078</v>
      </c>
      <c r="DL255" s="110">
        <f>IF(SeilBeregnet=0,DL254,(Lwl)^DL$3)</f>
        <v>1.7556215427832071</v>
      </c>
      <c r="DM255" s="136">
        <f>IF(SeilBeregnet=0,DM254,(Dypg/Loa)^DM$3*5*DM$7)</f>
        <v>1.84877493221863</v>
      </c>
      <c r="DO255" s="110" t="str">
        <f t="shared" si="1978"/>
        <v>-</v>
      </c>
      <c r="DP255" s="110" t="str">
        <f t="shared" si="1952"/>
        <v>-</v>
      </c>
      <c r="DR255" s="110" t="str">
        <f t="shared" si="1953"/>
        <v>-</v>
      </c>
      <c r="DS255" s="125" t="str">
        <f t="shared" si="2025"/>
        <v>-</v>
      </c>
      <c r="DT255" s="110" t="str">
        <f t="shared" si="1966"/>
        <v>-</v>
      </c>
      <c r="DU255" s="125" t="str">
        <f t="shared" si="2026"/>
        <v>-</v>
      </c>
      <c r="DV255" s="110">
        <f t="shared" si="2044"/>
        <v>4.9414698127773482</v>
      </c>
      <c r="DW255" s="110">
        <f t="shared" si="2045"/>
        <v>2.1177528635091734</v>
      </c>
      <c r="DX255" s="110">
        <f>IF(SeilBeregnet=0,DX254,((Loa+Lwl)/Bredde)^DX$3)</f>
        <v>1.6828091223381947</v>
      </c>
      <c r="DZ255" s="110" t="str">
        <f t="shared" si="1967"/>
        <v>-</v>
      </c>
      <c r="EB255" s="110">
        <f t="shared" si="2046"/>
        <v>4.9414698127773482</v>
      </c>
      <c r="EC255" s="110">
        <f>IF(SeilBeregnet=0,EC254,Lwl^EC$3)</f>
        <v>2.1178958987289218</v>
      </c>
      <c r="ED255" s="110">
        <f>IF(SeilBeregnet=0,ED254,((Loa+Lwl)/Bredde)^ED$3)</f>
        <v>2.0014727066930025</v>
      </c>
      <c r="EE255" s="110" t="str">
        <f t="shared" si="1968"/>
        <v>-</v>
      </c>
      <c r="EG255" s="110">
        <f>IF(SeilBeregnet=0,EG254,(EH255*EI255)^EG$3)</f>
        <v>8.3155504787005317</v>
      </c>
      <c r="EH255" s="110">
        <f t="shared" si="2047"/>
        <v>4.9414698127773482</v>
      </c>
      <c r="EI255" s="110">
        <f>IF(SeilBeregnet=0,EI254,((Loa+Lwl)/Bredde)^EI$3)</f>
        <v>1.6828091223381947</v>
      </c>
      <c r="EJ255" s="110">
        <f>IF(SeilBeregnet=0,EJ254,Lwl^EJ$3)</f>
        <v>1.7556215427832071</v>
      </c>
      <c r="EK255" s="110" t="str">
        <f>IF(SeilBeregnet=0,"-",EK$7*(EK$4*EM:EM+EK$6)*EP:EP*PropF+ErfaringsF+Dyp_F)</f>
        <v>-</v>
      </c>
      <c r="EM255" s="110">
        <f>IF(SeilBeregnet=0,EM254,(EN:EN*EO:EO)^EM$3)</f>
        <v>2.3050300727707427</v>
      </c>
      <c r="EN255" s="110">
        <f t="shared" si="2048"/>
        <v>4.9414698127773482</v>
      </c>
      <c r="EO255" s="110">
        <f>IF(SeilBeregnet=0,EO254,((Loa+Lwl)/Bredde/6)^EO$3)</f>
        <v>1.0752192844807114</v>
      </c>
      <c r="EP255" s="110">
        <f>IF(SeilBeregnet=0,EP254,(Lwl*0.7+Loa*0.3)^EP$3)</f>
        <v>1.8317462498666843</v>
      </c>
      <c r="EQ255" s="110" t="str">
        <f>IF(SeilBeregnet=0,"-",EQ$7*(ES:ES+EQ$6)*EV:EV*PropF+ErfaringsF+Dyp_F)</f>
        <v>-</v>
      </c>
      <c r="ES255" s="110">
        <f>(ET:ET*EU:EU)^ES$3</f>
        <v>2.3051187587578559</v>
      </c>
      <c r="ET255" s="110">
        <f t="shared" si="2049"/>
        <v>4.9418500660017504</v>
      </c>
      <c r="EU255" s="110">
        <f>IF(SeilBeregnet=0,EU254,((Loa+Lwl)/Bredde/6)^EU$3)</f>
        <v>1.0752192844807114</v>
      </c>
      <c r="EV255" s="110">
        <f>IF(SeilBeregnet=0,EV254,(Lwl*0.7+Loa*0.3)^EV$3)</f>
        <v>1.8317462498666843</v>
      </c>
      <c r="EW255" s="110" t="str">
        <f>IF(SeilBeregnet=0,"-",EW$7*(EY:EY+EW$6)*FB:FB*PropF+ErfaringsF+Dyp_F)</f>
        <v>-</v>
      </c>
      <c r="EX255" s="144" t="str">
        <f t="shared" si="2027"/>
        <v>-</v>
      </c>
      <c r="EY255" s="110">
        <f>(EZ:EZ*FA:FA)^EY$3</f>
        <v>5.7132556128602863</v>
      </c>
      <c r="EZ255" s="136">
        <f>IF(SeilBeregnet=0,EZ254,(SeilBeregnet^0.5/(Depl^0.3333))^EZ$3)</f>
        <v>4.9418500660017504</v>
      </c>
      <c r="FA255" s="136">
        <f>IF(SeilBeregnet=0,FA254,((Loa+Lwl)/Bredde/6)^FA$3)</f>
        <v>1.1560965097192131</v>
      </c>
      <c r="FB255" s="110">
        <f>IF(SeilBeregnet=0,FB254,(Lwl*0.07+Loa*0.03)^FB$3)</f>
        <v>1.0300666135624836</v>
      </c>
      <c r="FC255" s="110" t="str">
        <f>IF(SeilBeregnet=0,"-",FC$7*(FE:FE+FC$6)*FI:FI*PropF+ErfaringsF+Dyp_F)</f>
        <v>-</v>
      </c>
      <c r="FD255" s="144" t="str">
        <f t="shared" si="2028"/>
        <v>-</v>
      </c>
      <c r="FE255" s="110">
        <f>(FF:FF+FG:FG+FH:FH)^FE$3+FE$7</f>
        <v>7.8908441381371119</v>
      </c>
      <c r="FF255" s="136">
        <f>IF(SeilBeregnet=0,FF254,(SeilBeregnet^0.5/(Depl^0.3333))^FF$3)</f>
        <v>4.9418500660017504</v>
      </c>
      <c r="FG255" s="136">
        <f>IF(SeilBeregnet=0,FG254,(SeilBeregnet^0.5/Lwl*FG$7)^FG$3)</f>
        <v>1.2230473724865527</v>
      </c>
      <c r="FH255" s="136">
        <f>IF(SeilBeregnet=0,FH254,((Loa)/Bredde)^FH$3*FH$7)</f>
        <v>2.2259466996488078</v>
      </c>
      <c r="FI255" s="110">
        <f>IF(SeilBeregnet=0,FI254,(Lwl)^FI$3)</f>
        <v>1.7556215427832071</v>
      </c>
      <c r="FJ255" s="110" t="str">
        <f>IF(SeilBeregnet=0,"-",FJ$7*(FL:FL+FJ$6)*FO:FO*PropF+ErfaringsF+Dyp_F)</f>
        <v>-</v>
      </c>
      <c r="FK255" s="144" t="str">
        <f t="shared" si="2029"/>
        <v>-</v>
      </c>
      <c r="FL255" s="110">
        <f>(FM:FM*FN:FN)^FL$3</f>
        <v>11.000294844575839</v>
      </c>
      <c r="FM255" s="136">
        <f>IF(SeilBeregnet=0,FM254,(SeilBeregnet^0.5/(Depl^0.3333))^FM$3)</f>
        <v>4.9418500660017504</v>
      </c>
      <c r="FN255" s="136">
        <f>IF(SeilBeregnet=0,FN254,(Loa/Bredde)^FN$3)</f>
        <v>2.2259466996488078</v>
      </c>
      <c r="FO255" s="110">
        <f>IF(SeilBeregnet=0,FO254,Lwl^FO$3)</f>
        <v>1.7556215427832071</v>
      </c>
      <c r="FQ255" s="374">
        <v>1</v>
      </c>
      <c r="FR255" s="64" t="str">
        <f t="shared" si="1902"/>
        <v>-</v>
      </c>
      <c r="FS255" s="479"/>
      <c r="FT255" s="18"/>
      <c r="FU255" s="481"/>
      <c r="FV255" s="504"/>
      <c r="FW255" s="18"/>
      <c r="FX255" s="18"/>
      <c r="FY255" s="18"/>
      <c r="FZ255" s="18"/>
      <c r="GB255" s="18"/>
      <c r="GC255" s="481"/>
      <c r="GD255" s="8"/>
      <c r="GE255" s="8"/>
      <c r="GF255" s="8"/>
      <c r="GG255" s="8"/>
      <c r="GI255" s="18"/>
      <c r="GJ255" s="18"/>
      <c r="GK255" s="18"/>
      <c r="GL255" s="18"/>
      <c r="GM255" s="18"/>
      <c r="GN255" s="18"/>
      <c r="GO255" s="18"/>
      <c r="GP255" s="18"/>
    </row>
    <row r="256" spans="1:198" ht="15.6" x14ac:dyDescent="0.3">
      <c r="A256" s="54" t="s">
        <v>207</v>
      </c>
      <c r="B256" s="223">
        <f t="shared" ref="B256" si="2054">Loa/0.3048</f>
        <v>54.790026246719158</v>
      </c>
      <c r="C256" s="55" t="s">
        <v>41</v>
      </c>
      <c r="D256" s="55"/>
      <c r="E256" s="55"/>
      <c r="F256" s="55"/>
      <c r="G256" s="56"/>
      <c r="H256" s="209"/>
      <c r="I256" s="126" t="str">
        <f>A256</f>
        <v>Bojar</v>
      </c>
      <c r="J256" s="229"/>
      <c r="K256" s="119"/>
      <c r="L256" s="119"/>
      <c r="M256" s="95"/>
      <c r="N256" s="265"/>
      <c r="O256" s="169"/>
      <c r="P256" s="169"/>
      <c r="Q256" s="169">
        <v>46</v>
      </c>
      <c r="R256" s="169"/>
      <c r="S256" s="169"/>
      <c r="T256" s="169">
        <v>26.5</v>
      </c>
      <c r="U256" s="169"/>
      <c r="V256" s="169"/>
      <c r="W256" s="169"/>
      <c r="X256" s="169"/>
      <c r="Y256" s="169"/>
      <c r="Z256" s="169"/>
      <c r="AA256" s="169"/>
      <c r="AB256" s="169">
        <v>64.5</v>
      </c>
      <c r="AC256" s="169"/>
      <c r="AD256" s="169"/>
      <c r="AE256" s="270">
        <v>17.600000000000001</v>
      </c>
      <c r="AF256" s="296"/>
      <c r="AG256" s="377"/>
      <c r="AH256" s="296"/>
      <c r="AI256" s="377"/>
      <c r="AJ256" s="296" t="s">
        <v>240</v>
      </c>
      <c r="AK256" s="47">
        <f>VLOOKUP(AJ256,Skrogform!$1:$1048576,3,FALSE)</f>
        <v>1</v>
      </c>
      <c r="AL256" s="57">
        <v>16.7</v>
      </c>
      <c r="AM256" s="57">
        <v>10.7</v>
      </c>
      <c r="AN256" s="57">
        <v>3.3</v>
      </c>
      <c r="AO256" s="57">
        <v>2.5</v>
      </c>
      <c r="AP256" s="57">
        <v>17</v>
      </c>
      <c r="AQ256" s="57">
        <v>8.3000000000000007</v>
      </c>
      <c r="AR256" s="57"/>
      <c r="AS256" s="281"/>
      <c r="AT256" s="282">
        <f>AS256*7</f>
        <v>0</v>
      </c>
      <c r="AU256" s="281">
        <f>ROUND(Depl*10,-2)</f>
        <v>200</v>
      </c>
      <c r="AV256" s="281">
        <f>ROUND(Depl*10,-2)</f>
        <v>200</v>
      </c>
      <c r="AW256" s="270">
        <f>Depl+Diesel/1000+Vann/1000</f>
        <v>17.399999999999999</v>
      </c>
      <c r="AX256" s="281"/>
      <c r="AY256" s="98">
        <f>Bredde/(Loa+Lwl)*2</f>
        <v>0.24087591240875914</v>
      </c>
      <c r="AZ256" s="98">
        <f>(Kjøl+Ballast)/Depl</f>
        <v>0.4882352941176471</v>
      </c>
      <c r="BA256" s="288">
        <f>BA$7*((Depl-Kjøl-Ballast-VektMotor/1000-VektAnnet/1000)/Loa/Lwl/Bredde)</f>
        <v>0.63836810063699523</v>
      </c>
      <c r="BB256" s="98">
        <f>BB$7*(Depl/Loa/Lwl/Lwl)</f>
        <v>0.66765645822122066</v>
      </c>
      <c r="BC256" s="178">
        <f>BC$7*(Depl/Loa/Lwl/Bredde)</f>
        <v>0.80019384012132866</v>
      </c>
      <c r="BD256" s="98">
        <f>BD$7*Bredde/(Loa+Lwl)*2</f>
        <v>0.68714386625853541</v>
      </c>
      <c r="BE256" s="98">
        <f>BE$7*(Dypg/Lwl)</f>
        <v>1.2779357984559123</v>
      </c>
      <c r="BF256" s="58"/>
      <c r="BG256" s="296"/>
      <c r="BH256" s="296"/>
      <c r="BI256" s="47">
        <f t="shared" si="1903"/>
        <v>1</v>
      </c>
      <c r="BJ256" s="61"/>
      <c r="BK256" s="61"/>
      <c r="BM256" s="214"/>
      <c r="BN256" s="214" t="str">
        <f>$A256</f>
        <v>Bojar</v>
      </c>
      <c r="BO256" s="10"/>
      <c r="BP256" s="10"/>
      <c r="BQ256" s="10"/>
      <c r="BR256" s="10"/>
      <c r="BS256" s="52"/>
      <c r="BT256" s="214" t="str">
        <f>$A256</f>
        <v>Bojar</v>
      </c>
      <c r="BU256" s="10"/>
      <c r="BV256" s="10"/>
      <c r="BW256" s="10"/>
      <c r="BX256" s="10"/>
      <c r="BY256" s="10"/>
      <c r="BZ256" s="10"/>
      <c r="CA256" s="10"/>
      <c r="CB256" s="10"/>
      <c r="CC256" s="10"/>
      <c r="CD256" s="214"/>
      <c r="CE256" s="10"/>
      <c r="CF256" s="214" t="str">
        <f>$A256</f>
        <v>Bojar</v>
      </c>
      <c r="CG256" s="212"/>
      <c r="CH256" s="212"/>
      <c r="CI256" s="119"/>
      <c r="CJ256" s="212"/>
      <c r="CK256" s="208"/>
      <c r="CL256" s="208" t="s">
        <v>26</v>
      </c>
      <c r="CM256" s="110" t="str">
        <f t="shared" si="1772"/>
        <v>-</v>
      </c>
      <c r="CN256" s="64" t="str">
        <f>IF(SeilBeregnet=0,"-",(SeilBeregnet)^(1/2)*StHfaktor/(Depl+DeplTillegg/1000+Vann/1000+Diesel/1000*0.84)^(1/3))</f>
        <v>-</v>
      </c>
      <c r="CO256" s="64" t="str">
        <f t="shared" si="1759"/>
        <v>-</v>
      </c>
      <c r="CP256" s="64" t="str">
        <f t="shared" si="1760"/>
        <v>-</v>
      </c>
      <c r="CQ256" s="110" t="str">
        <f t="shared" si="1761"/>
        <v>-</v>
      </c>
      <c r="CR256" s="172" t="str">
        <f t="shared" si="2004"/>
        <v>-</v>
      </c>
      <c r="CS256" s="162"/>
      <c r="CT256" s="172" t="str">
        <f t="shared" si="1895"/>
        <v>-</v>
      </c>
      <c r="CU256" s="164">
        <v>1.68</v>
      </c>
      <c r="CV256" s="195" t="s">
        <v>145</v>
      </c>
      <c r="CW256" s="30" t="s">
        <v>26</v>
      </c>
      <c r="CX256" s="30" t="s">
        <v>26</v>
      </c>
      <c r="CY256" s="30" t="s">
        <v>26</v>
      </c>
      <c r="CZ256" s="153">
        <v>2022</v>
      </c>
      <c r="DA256" s="64" t="str">
        <f t="shared" si="1951"/>
        <v>-</v>
      </c>
      <c r="DB256" s="49">
        <f t="shared" si="1904"/>
        <v>16.666666666666664</v>
      </c>
      <c r="DC256" s="50">
        <f t="shared" si="1905"/>
        <v>0</v>
      </c>
      <c r="DE256" s="110" t="str">
        <f>IF(SeilBeregnet=0,"-",DE$7*(DG:DG+DE$6)*DL:DL*PropF+ErfaringsF+Dyp_F)</f>
        <v>-</v>
      </c>
      <c r="DF256" s="144" t="str">
        <f t="shared" si="2024"/>
        <v>-</v>
      </c>
      <c r="DG256" s="110">
        <f t="shared" si="1959"/>
        <v>0</v>
      </c>
      <c r="DH256" s="136">
        <f>IF(SeilBeregnet=0,DH232,(SeilBeregnet^0.5/(Depl^0.3333))^DH$3*DH$7)</f>
        <v>0</v>
      </c>
      <c r="DI256" s="136">
        <f>IF(SeilBeregnet=0,DI232,(SeilBeregnet^0.5/Lwl)^DI$3*DI$7)</f>
        <v>0</v>
      </c>
      <c r="DJ256" s="136">
        <f>IF(SeilBeregnet=0,DJ232,(0.1*Loa/Depl^0.3333)^DJ$3*DJ$7)</f>
        <v>0</v>
      </c>
      <c r="DK256" s="136">
        <f>IF(SeilBeregnet=0,DK232,((Loa)/Bredde)^DK$3*DK$7)</f>
        <v>0</v>
      </c>
      <c r="DL256" s="110">
        <f>IF(SeilBeregnet=0,DL232,(Lwl)^DL$3)</f>
        <v>0</v>
      </c>
      <c r="DM256" s="136">
        <f>IF(SeilBeregnet=0,DM232,(Dypg/Loa)^DM$3*5*DM$7)</f>
        <v>0</v>
      </c>
      <c r="DO256" s="110" t="str">
        <f t="shared" si="669"/>
        <v>-</v>
      </c>
      <c r="DP256" s="110" t="str">
        <f t="shared" si="1952"/>
        <v>-</v>
      </c>
      <c r="DR256" s="110" t="str">
        <f t="shared" si="1953"/>
        <v>-</v>
      </c>
      <c r="DS256" s="125" t="str">
        <f t="shared" si="2025"/>
        <v>-</v>
      </c>
      <c r="DT256" s="110" t="str">
        <f t="shared" si="1966"/>
        <v>-</v>
      </c>
      <c r="DU256" s="125" t="str">
        <f t="shared" si="2026"/>
        <v>-</v>
      </c>
      <c r="DV256" s="110">
        <f>IF(SeilBeregnet=0,DV237,SeilBeregnet^0.5/Depl^0.33333)</f>
        <v>2.620129431597483</v>
      </c>
      <c r="DW256" s="110">
        <f>IF(SeilBeregnet=0,DW237,Lwl^0.3333)</f>
        <v>2.6445290195265336</v>
      </c>
      <c r="DX256" s="110">
        <f>IF(SeilBeregnet=0,DX237,((Loa+Lwl)/Bredde)^DX$3)</f>
        <v>1.6925961427894936</v>
      </c>
      <c r="DZ256" s="110" t="str">
        <f t="shared" si="1967"/>
        <v>-</v>
      </c>
      <c r="EB256" s="110">
        <f>IF(SeilBeregnet=0,EB237,SeilBeregnet^0.5/Depl^0.33333)</f>
        <v>2.620129431597483</v>
      </c>
      <c r="EC256" s="110">
        <f>IF(SeilBeregnet=0,EC237,Lwl^EC$3)</f>
        <v>2.6447605135392824</v>
      </c>
      <c r="ED256" s="110">
        <f>IF(SeilBeregnet=0,ED237,((Loa+Lwl)/Bredde)^ED$3)</f>
        <v>2.017006612549411</v>
      </c>
      <c r="EE256" s="110" t="str">
        <f t="shared" si="1968"/>
        <v>-</v>
      </c>
      <c r="EG256" s="110">
        <f>IF(SeilBeregnet=0,EG237,(EH256*EI256)^EG$3)</f>
        <v>4.4348209695311276</v>
      </c>
      <c r="EH256" s="110">
        <f>IF(SeilBeregnet=0,EH237,SeilBeregnet^0.5/Depl^0.33333)</f>
        <v>2.620129431597483</v>
      </c>
      <c r="EI256" s="110">
        <f>IF(SeilBeregnet=0,EI237,((Loa+Lwl)/Bredde)^EI$3)</f>
        <v>1.6925961427894936</v>
      </c>
      <c r="EJ256" s="110">
        <f>IF(SeilBeregnet=0,EJ237,Lwl^EJ$3)</f>
        <v>2.0739244522212745</v>
      </c>
      <c r="EK256" s="110" t="str">
        <f>IF(SeilBeregnet=0,"-",EK$7*(EK$4*EM:EM+EK$6)*EP:EP*PropF+ErfaringsF+Dyp_F)</f>
        <v>-</v>
      </c>
      <c r="EM256" s="110">
        <f>IF(SeilBeregnet=0,EM237,(EN:EN*EO:EO)^EM$3)</f>
        <v>1.6833295212312658</v>
      </c>
      <c r="EN256" s="110">
        <f>IF(SeilBeregnet=0,EN237,SeilBeregnet^0.5/Depl^0.33333)</f>
        <v>2.620129431597483</v>
      </c>
      <c r="EO256" s="110">
        <f>IF(SeilBeregnet=0,EO237,((Loa+Lwl)/Bredde/6)^EO$3)</f>
        <v>1.081472633709186</v>
      </c>
      <c r="EP256" s="110">
        <f>IF(SeilBeregnet=0,EP237,(Lwl*0.7+Loa*0.3)^EP$3)</f>
        <v>2.1265388832179877</v>
      </c>
      <c r="EQ256" s="110" t="str">
        <f>IF(SeilBeregnet=0,"-",EQ$7*(ES:ES+EQ$6)*EV:EV*PropF+ErfaringsF+Dyp_F)</f>
        <v>-</v>
      </c>
      <c r="ES256" s="110">
        <f>(ET:ET*EU:EU)^ES$3</f>
        <v>1.6834367989114212</v>
      </c>
      <c r="ET256" s="110">
        <f>IF(SeilBeregnet=0,ET237,SeilBeregnet^0.5/Depl^0.3333)</f>
        <v>2.6204634011027599</v>
      </c>
      <c r="EU256" s="110">
        <f>IF(SeilBeregnet=0,EU237,((Loa+Lwl)/Bredde/6)^EU$3)</f>
        <v>1.081472633709186</v>
      </c>
      <c r="EV256" s="110">
        <f>IF(SeilBeregnet=0,EV237,(Lwl*0.7+Loa*0.3)^EV$3)</f>
        <v>2.1265388832179877</v>
      </c>
      <c r="EW256" s="110" t="str">
        <f>IF(SeilBeregnet=0,"-",EW$7*(EY:EY+EW$6)*FB:FB*PropF+ErfaringsF+Dyp_F)</f>
        <v>-</v>
      </c>
      <c r="EX256" s="144" t="str">
        <f t="shared" si="2027"/>
        <v>-</v>
      </c>
      <c r="EY256" s="110">
        <f>(EZ:EZ*FA:FA)^EY$3</f>
        <v>3.0648495966287315</v>
      </c>
      <c r="EZ256" s="136">
        <f>IF(SeilBeregnet=0,EZ237,(SeilBeregnet^0.5/(Depl^0.3333))^EZ$3)</f>
        <v>2.6204634011027599</v>
      </c>
      <c r="FA256" s="136">
        <f>IF(SeilBeregnet=0,FA237,((Loa+Lwl)/Bredde/6)^FA$3)</f>
        <v>1.1695830574618833</v>
      </c>
      <c r="FB256" s="110">
        <f>IF(SeilBeregnet=0,FB237,(Lwl*0.07+Loa*0.03)^FB$3)</f>
        <v>1.195840693657608</v>
      </c>
      <c r="FC256" s="110" t="str">
        <f>IF(SeilBeregnet=0,"-",FC$7*(FE:FE+FC$6)*FI:FI*PropF+ErfaringsF+Dyp_F)</f>
        <v>-</v>
      </c>
      <c r="FD256" s="144" t="str">
        <f t="shared" si="2028"/>
        <v>-</v>
      </c>
      <c r="FE256" s="110">
        <f>(FF:FF+FG:FG+FH:FH)^FE$3+FE$7</f>
        <v>4.8760082900183486</v>
      </c>
      <c r="FF256" s="136">
        <f>IF(SeilBeregnet=0,FF237,(SeilBeregnet^0.5/(Depl^0.3333))^FF$3)</f>
        <v>2.6204634011027599</v>
      </c>
      <c r="FG256" s="136">
        <f>IF(SeilBeregnet=0,FG237,(SeilBeregnet^0.5/Lwl*FG$7)^FG$3)</f>
        <v>0.58368367510024166</v>
      </c>
      <c r="FH256" s="136">
        <f>IF(SeilBeregnet=0,FH237,((Loa)/Bredde)^FH$3*FH$7)</f>
        <v>2.171861213815347</v>
      </c>
      <c r="FI256" s="110">
        <f>IF(SeilBeregnet=0,FI237,(Lwl)^FI$3)</f>
        <v>2.0739244522212745</v>
      </c>
      <c r="FJ256" s="110" t="str">
        <f>IF(SeilBeregnet=0,"-",FJ$7*(FL:FL+FJ$6)*FO:FO*PropF+ErfaringsF+Dyp_F)</f>
        <v>-</v>
      </c>
      <c r="FK256" s="144" t="str">
        <f t="shared" si="2029"/>
        <v>-</v>
      </c>
      <c r="FL256" s="110">
        <f>(FM:FM*FN:FN)^FL$3</f>
        <v>5.6912828230777324</v>
      </c>
      <c r="FM256" s="136">
        <f>IF(SeilBeregnet=0,FM237,(SeilBeregnet^0.5/(Depl^0.3333))^FM$3)</f>
        <v>2.6204634011027599</v>
      </c>
      <c r="FN256" s="136">
        <f>IF(SeilBeregnet=0,FN237,(Loa/Bredde)^FN$3)</f>
        <v>2.171861213815347</v>
      </c>
      <c r="FO256" s="110">
        <f>IF(SeilBeregnet=0,FO237,Lwl^FO$3)</f>
        <v>2.0739244522212745</v>
      </c>
      <c r="FQ256" s="374">
        <v>1</v>
      </c>
      <c r="FR256" s="64" t="str">
        <f t="shared" si="1902"/>
        <v>-</v>
      </c>
      <c r="FS256" s="480"/>
      <c r="FT256" s="59"/>
      <c r="FU256" s="475"/>
      <c r="FV256" s="77"/>
      <c r="FW256" s="59"/>
      <c r="FX256" s="59"/>
      <c r="FY256" s="59"/>
      <c r="FZ256" s="59"/>
      <c r="GB256" s="59" t="s">
        <v>522</v>
      </c>
      <c r="GC256" s="475" t="s">
        <v>522</v>
      </c>
      <c r="GD256" s="60" t="s">
        <v>522</v>
      </c>
      <c r="GE256" s="60" t="s">
        <v>522</v>
      </c>
      <c r="GF256" s="60" t="s">
        <v>522</v>
      </c>
      <c r="GG256" s="60" t="s">
        <v>522</v>
      </c>
      <c r="GI256" s="59"/>
      <c r="GJ256" s="59"/>
      <c r="GK256" s="59"/>
      <c r="GL256" s="59"/>
      <c r="GM256" s="59"/>
      <c r="GN256" s="59"/>
      <c r="GO256" s="59"/>
      <c r="GP256" s="59"/>
    </row>
    <row r="257" spans="1:198" ht="15.6" x14ac:dyDescent="0.3">
      <c r="A257" s="62" t="s">
        <v>32</v>
      </c>
      <c r="B257" s="223"/>
      <c r="C257" s="63" t="str">
        <f>C256</f>
        <v>Bermuda</v>
      </c>
      <c r="D257" s="63"/>
      <c r="E257" s="63"/>
      <c r="F257" s="63"/>
      <c r="G257" s="56"/>
      <c r="H257" s="209">
        <f>TBFavrundet</f>
        <v>129</v>
      </c>
      <c r="I257" s="65">
        <f>COUNTA(O257:AD257)</f>
        <v>3</v>
      </c>
      <c r="J257" s="228">
        <f>SUM(O257:AD257)</f>
        <v>137</v>
      </c>
      <c r="K257" s="119">
        <f>Seilareal/Depl^0.667/K$7</f>
        <v>1.8928425825768358</v>
      </c>
      <c r="L257" s="119">
        <f>Seilareal/Lwl/Lwl/L$7</f>
        <v>1.8156410181900524</v>
      </c>
      <c r="M257" s="95">
        <f>RiggF</f>
        <v>0.94197080291970814</v>
      </c>
      <c r="N257" s="265">
        <f>StHfaktor</f>
        <v>1.0641824960673125</v>
      </c>
      <c r="O257" s="147"/>
      <c r="P257" s="147"/>
      <c r="Q257" s="169">
        <v>46</v>
      </c>
      <c r="R257" s="147"/>
      <c r="S257" s="147"/>
      <c r="T257" s="169">
        <v>26.5</v>
      </c>
      <c r="U257" s="148"/>
      <c r="V257" s="148"/>
      <c r="W257" s="148"/>
      <c r="X257" s="148"/>
      <c r="Y257" s="147"/>
      <c r="Z257" s="147"/>
      <c r="AA257" s="147"/>
      <c r="AB257" s="169">
        <v>64.5</v>
      </c>
      <c r="AC257" s="147"/>
      <c r="AD257" s="148"/>
      <c r="AE257" s="260">
        <f t="shared" ref="AE257:AE259" si="2055">AE256</f>
        <v>17.600000000000001</v>
      </c>
      <c r="AF257" s="375">
        <f t="shared" ref="AF257:AH259" si="2056" xml:space="preserve"> AF256</f>
        <v>0</v>
      </c>
      <c r="AG257" s="377"/>
      <c r="AH257" s="375">
        <f t="shared" si="2056"/>
        <v>0</v>
      </c>
      <c r="AI257" s="377"/>
      <c r="AJ257" s="295" t="str">
        <f t="shared" ref="AJ257" si="2057" xml:space="preserve"> AJ256</f>
        <v>Meter</v>
      </c>
      <c r="AK257" s="47">
        <f>VLOOKUP(AJ257,Skrogform!$1:$1048576,3,FALSE)</f>
        <v>1</v>
      </c>
      <c r="AL257" s="66">
        <f t="shared" ref="AL257:AL259" si="2058">AL256</f>
        <v>16.7</v>
      </c>
      <c r="AM257" s="66">
        <f t="shared" ref="AM257:AM259" si="2059">AM256</f>
        <v>10.7</v>
      </c>
      <c r="AN257" s="66">
        <f t="shared" ref="AN257:AN259" si="2060">AN256</f>
        <v>3.3</v>
      </c>
      <c r="AO257" s="66">
        <f t="shared" ref="AO257:AO259" si="2061">AO256</f>
        <v>2.5</v>
      </c>
      <c r="AP257" s="66">
        <f t="shared" ref="AP257:AP259" si="2062">AP256</f>
        <v>17</v>
      </c>
      <c r="AQ257" s="66">
        <f t="shared" ref="AQ257:AT259" si="2063">AQ256</f>
        <v>8.3000000000000007</v>
      </c>
      <c r="AR257" s="66">
        <f t="shared" ref="AR257:AT257" si="2064">AR256</f>
        <v>0</v>
      </c>
      <c r="AS257" s="284">
        <f t="shared" si="2064"/>
        <v>0</v>
      </c>
      <c r="AT257" s="284">
        <f t="shared" si="2064"/>
        <v>0</v>
      </c>
      <c r="AU257" s="284">
        <f t="shared" ref="AU257:AV257" si="2065">AU256</f>
        <v>200</v>
      </c>
      <c r="AV257" s="284">
        <f t="shared" si="2065"/>
        <v>200</v>
      </c>
      <c r="AW257" s="284"/>
      <c r="AX257" s="284">
        <f>AX256</f>
        <v>0</v>
      </c>
      <c r="AY257" s="68"/>
      <c r="AZ257" s="68"/>
      <c r="BA257" s="289"/>
      <c r="BB257" s="68"/>
      <c r="BC257" s="179"/>
      <c r="BD257" s="68"/>
      <c r="BE257" s="68"/>
      <c r="BF257" s="67">
        <f t="shared" ref="BF257:BH257" si="2066" xml:space="preserve"> BF256</f>
        <v>0</v>
      </c>
      <c r="BG257" s="295">
        <f t="shared" si="2066"/>
        <v>0</v>
      </c>
      <c r="BH257" s="295">
        <f t="shared" si="2066"/>
        <v>0</v>
      </c>
      <c r="BI257" s="47">
        <f t="shared" si="1903"/>
        <v>1</v>
      </c>
      <c r="BJ257" s="61"/>
      <c r="BK257" s="61"/>
      <c r="BM257" s="51">
        <f t="shared" ref="BM257:BR259" si="2067">IF(O257=0,0,O257*BM$9)</f>
        <v>0</v>
      </c>
      <c r="BN257" s="51">
        <f t="shared" si="2067"/>
        <v>0</v>
      </c>
      <c r="BO257" s="51">
        <f t="shared" si="2067"/>
        <v>46</v>
      </c>
      <c r="BP257" s="51">
        <f t="shared" si="2067"/>
        <v>0</v>
      </c>
      <c r="BQ257" s="51">
        <f t="shared" si="2067"/>
        <v>0</v>
      </c>
      <c r="BR257" s="51">
        <f t="shared" si="2067"/>
        <v>26.5</v>
      </c>
      <c r="BS257" s="52">
        <f>IF(COUNT(P257:T257)&gt;1,MINA(P257:T257)*BS$9,0)</f>
        <v>-7.9499999999999993</v>
      </c>
      <c r="BT257" s="88">
        <f t="shared" ref="BT257:CC259" si="2068">IF(U257=0,0,U257*BT$9)</f>
        <v>0</v>
      </c>
      <c r="BU257" s="88">
        <f t="shared" si="2068"/>
        <v>0</v>
      </c>
      <c r="BV257" s="88">
        <f t="shared" si="2068"/>
        <v>0</v>
      </c>
      <c r="BW257" s="88">
        <f t="shared" si="2068"/>
        <v>0</v>
      </c>
      <c r="BX257" s="88">
        <f t="shared" si="2068"/>
        <v>0</v>
      </c>
      <c r="BY257" s="88">
        <f t="shared" si="2068"/>
        <v>0</v>
      </c>
      <c r="BZ257" s="88">
        <f t="shared" si="2068"/>
        <v>0</v>
      </c>
      <c r="CA257" s="88">
        <f t="shared" si="2068"/>
        <v>64.5</v>
      </c>
      <c r="CB257" s="88">
        <f t="shared" si="2068"/>
        <v>0</v>
      </c>
      <c r="CC257" s="88">
        <f t="shared" si="2068"/>
        <v>0</v>
      </c>
      <c r="CD257" s="103">
        <f>SUM(BM257:CC257)</f>
        <v>129.05000000000001</v>
      </c>
      <c r="CE257" s="52"/>
      <c r="CF257" s="107">
        <f>J257</f>
        <v>137</v>
      </c>
      <c r="CG257" s="104">
        <f>CD257/CF257</f>
        <v>0.94197080291970814</v>
      </c>
      <c r="CH257" s="53">
        <f>Seilareal/Lwl/Lwl</f>
        <v>1.1966110577343001</v>
      </c>
      <c r="CI257" s="119">
        <f>Seilareal/Depl^0.667/K$7</f>
        <v>1.8928425825768358</v>
      </c>
      <c r="CJ257" s="53">
        <f>Seilareal/Lwl/Lwl/SApRS1</f>
        <v>1.8156410181900524</v>
      </c>
      <c r="CK257" s="209"/>
      <c r="CL257" s="209">
        <f>(ROUND(TBF/CL$6,3)*CL$6)*CL$4</f>
        <v>129</v>
      </c>
      <c r="CM257" s="110">
        <f t="shared" si="1772"/>
        <v>1.2882057282303894</v>
      </c>
      <c r="CN257" s="64">
        <f>IF(SeilBeregnet=0,"-",(SeilBeregnet)^(1/2)*StHfaktor/(Depl+DeplTillegg/1000+Vann/1000+Diesel/1000*0.84)^(1/3))</f>
        <v>4.6503717828859177</v>
      </c>
      <c r="CO257" s="64">
        <f t="shared" si="1759"/>
        <v>2.0375267241229382</v>
      </c>
      <c r="CP257" s="64">
        <f t="shared" si="1760"/>
        <v>1.808614233815278</v>
      </c>
      <c r="CQ257" s="110">
        <f t="shared" si="1761"/>
        <v>1.0641824960673125</v>
      </c>
      <c r="CR257" s="172" t="str">
        <f t="shared" si="2004"/>
        <v>-</v>
      </c>
      <c r="CS257" s="163">
        <f>CS256</f>
        <v>0</v>
      </c>
      <c r="CT257" s="172">
        <f t="shared" si="1895"/>
        <v>1.296842105263158</v>
      </c>
      <c r="CU257" s="163">
        <f>CU256</f>
        <v>1.68</v>
      </c>
      <c r="CV257" s="195" t="s">
        <v>145</v>
      </c>
      <c r="CW257" s="64" t="s">
        <v>111</v>
      </c>
      <c r="CX257" s="64" t="s">
        <v>111</v>
      </c>
      <c r="CY257" s="64" t="s">
        <v>111</v>
      </c>
      <c r="CZ257" s="154" t="s">
        <v>111</v>
      </c>
      <c r="DA257" s="64">
        <f t="shared" si="1951"/>
        <v>2.290961124677549</v>
      </c>
      <c r="DB257" s="49">
        <f t="shared" si="1904"/>
        <v>16.666666666666664</v>
      </c>
      <c r="DC257" s="50">
        <f t="shared" si="1905"/>
        <v>0</v>
      </c>
      <c r="DE257" s="110">
        <f>IF(SeilBeregnet=0,"-",DE$7*(DG:DG+DE$6)*DL:DL*PropF+ErfaringsF+Dyp_F)</f>
        <v>1.2180499306547197</v>
      </c>
      <c r="DF257" s="144" t="str">
        <f t="shared" si="2024"/>
        <v>-</v>
      </c>
      <c r="DG257" s="110">
        <f t="shared" si="1959"/>
        <v>6.6680335021314487</v>
      </c>
      <c r="DH257" s="136">
        <f>IF(SeilBeregnet=0,DH256,(SeilBeregnet^0.5/(Depl^0.3333))^DH$3*DH$7)</f>
        <v>4.4184544169232707</v>
      </c>
      <c r="DI257" s="136">
        <f>IF(SeilBeregnet=0,DI256,(SeilBeregnet^0.5/Lwl)^DI$3*DI$7)</f>
        <v>0</v>
      </c>
      <c r="DJ257" s="136">
        <f>IF(SeilBeregnet=0,DJ256,(0.1*Loa/Depl^0.3333)^DJ$3*DJ$7)</f>
        <v>0</v>
      </c>
      <c r="DK257" s="136">
        <f>IF(SeilBeregnet=0,DK256,((Loa)/Bredde)^DK$3*DK$7)</f>
        <v>2.2495790852081776</v>
      </c>
      <c r="DL257" s="110">
        <f>IF(SeilBeregnet=0,DL256,(Lwl)^DL$3)</f>
        <v>1.808614233815278</v>
      </c>
      <c r="DM257" s="136">
        <f>IF(SeilBeregnet=0,DM256,(Dypg/Loa)^DM$3*5*DM$7)</f>
        <v>1.9345580813353422</v>
      </c>
      <c r="DO257" s="110">
        <f t="shared" si="669"/>
        <v>1.2882057282303894</v>
      </c>
      <c r="DP257" s="110">
        <f t="shared" si="1952"/>
        <v>1.2711187670055146</v>
      </c>
      <c r="DR257" s="110">
        <f t="shared" si="1953"/>
        <v>1.237894321995225</v>
      </c>
      <c r="DS257" s="125" t="str">
        <f t="shared" si="2025"/>
        <v>-</v>
      </c>
      <c r="DT257" s="110">
        <f t="shared" si="1966"/>
        <v>1.2611568833760094</v>
      </c>
      <c r="DU257" s="125" t="str">
        <f t="shared" si="2026"/>
        <v>-</v>
      </c>
      <c r="DV257" s="110">
        <f>IF(SeilBeregnet=0,DV256,SeilBeregnet^0.5/Depl^0.33333)</f>
        <v>4.4180788801627093</v>
      </c>
      <c r="DW257" s="110">
        <f>IF(SeilBeregnet=0,DW256,Lwl^0.3333)</f>
        <v>2.2034013597348872</v>
      </c>
      <c r="DX257" s="110">
        <f>IF(SeilBeregnet=0,DX256,((Loa+Lwl)/Bredde)^DX$3)</f>
        <v>1.6974975484377828</v>
      </c>
      <c r="DZ257" s="110">
        <f t="shared" si="1967"/>
        <v>1.2519314464800622</v>
      </c>
      <c r="EB257" s="110">
        <f>IF(SeilBeregnet=0,EB256,SeilBeregnet^0.5/Depl^0.33333)</f>
        <v>4.4180788801627093</v>
      </c>
      <c r="EC257" s="110">
        <f>IF(SeilBeregnet=0,EC256,Lwl^EC$3)</f>
        <v>2.2035580432539792</v>
      </c>
      <c r="ED257" s="110">
        <f>IF(SeilBeregnet=0,ED256,((Loa+Lwl)/Bredde)^ED$3)</f>
        <v>2.0247973624437603</v>
      </c>
      <c r="EE257" s="110">
        <f t="shared" si="1968"/>
        <v>1.2369383462236623</v>
      </c>
      <c r="EG257" s="110">
        <f>IF(SeilBeregnet=0,EG256,(EH257*EI257)^EG$3)</f>
        <v>7.4996780678809438</v>
      </c>
      <c r="EH257" s="110">
        <f>IF(SeilBeregnet=0,EH256,SeilBeregnet^0.5/Depl^0.33333)</f>
        <v>4.4180788801627093</v>
      </c>
      <c r="EI257" s="110">
        <f>IF(SeilBeregnet=0,EI256,((Loa+Lwl)/Bredde)^EI$3)</f>
        <v>1.6974975484377828</v>
      </c>
      <c r="EJ257" s="110">
        <f>IF(SeilBeregnet=0,EJ256,Lwl^EJ$3)</f>
        <v>1.808614233815278</v>
      </c>
      <c r="EK257" s="110">
        <f>IF(SeilBeregnet=0,"-",EK$7*(EK$4*EM:EM+EK$6)*EP:EP*PropF+ErfaringsF+Dyp_F)</f>
        <v>1.2330825542189106</v>
      </c>
      <c r="EM257" s="110">
        <f>IF(SeilBeregnet=0,EM256,(EN:EN*EO:EO)^EM$3)</f>
        <v>2.1890334820508199</v>
      </c>
      <c r="EN257" s="110">
        <f>IF(SeilBeregnet=0,EN256,SeilBeregnet^0.5/Depl^0.33333)</f>
        <v>4.4180788801627093</v>
      </c>
      <c r="EO257" s="110">
        <f>IF(SeilBeregnet=0,EO256,((Loa+Lwl)/Bredde/6)^EO$3)</f>
        <v>1.0846043530492742</v>
      </c>
      <c r="EP257" s="110">
        <f>IF(SeilBeregnet=0,EP256,(Lwl*0.7+Loa*0.3)^EP$3)</f>
        <v>1.8803015465431969</v>
      </c>
      <c r="EQ257" s="110">
        <f>IF(SeilBeregnet=0,"-",EQ$7*(ES:ES+EQ$6)*EV:EV*PropF+ErfaringsF+Dyp_F)</f>
        <v>1.1263576862071121</v>
      </c>
      <c r="ES257" s="110">
        <f>(ET:ET*EU:EU)^ES$3</f>
        <v>2.1891265140107303</v>
      </c>
      <c r="ET257" s="110">
        <f>IF(SeilBeregnet=0,ET256,SeilBeregnet^0.5/Depl^0.3333)</f>
        <v>4.4184544169232707</v>
      </c>
      <c r="EU257" s="110">
        <f>IF(SeilBeregnet=0,EU256,((Loa+Lwl)/Bredde/6)^EU$3)</f>
        <v>1.0846043530492742</v>
      </c>
      <c r="EV257" s="110">
        <f>IF(SeilBeregnet=0,EV256,(Lwl*0.7+Loa*0.3)^EV$3)</f>
        <v>1.8803015465431969</v>
      </c>
      <c r="EW257" s="110">
        <f>IF(SeilBeregnet=0,"-",EW$7*(EY:EY+EW$6)*FB:FB*PropF+ErfaringsF+Dyp_F)</f>
        <v>1.3014236514868698</v>
      </c>
      <c r="EX257" s="144" t="str">
        <f t="shared" si="2027"/>
        <v>-</v>
      </c>
      <c r="EY257" s="110">
        <f>(EZ:EZ*FA:FA)^EY$3</f>
        <v>5.1977222114150905</v>
      </c>
      <c r="EZ257" s="136">
        <f>IF(SeilBeregnet=0,EZ256,(SeilBeregnet^0.5/(Depl^0.3333))^EZ$3)</f>
        <v>4.4184544169232707</v>
      </c>
      <c r="FA257" s="136">
        <f>IF(SeilBeregnet=0,FA256,((Loa+Lwl)/Bredde/6)^FA$3)</f>
        <v>1.1763666026534347</v>
      </c>
      <c r="FB257" s="110">
        <f>IF(SeilBeregnet=0,FB256,(Lwl*0.07+Loa*0.03)^FB$3)</f>
        <v>1.0573712634405641</v>
      </c>
      <c r="FC257" s="110">
        <f>IF(SeilBeregnet=0,"-",FC$7*(FE:FE+FC$6)*FI:FI*PropF+ErfaringsF+Dyp_F)</f>
        <v>1.255273898777578</v>
      </c>
      <c r="FD257" s="144" t="str">
        <f t="shared" si="2028"/>
        <v>-</v>
      </c>
      <c r="FE257" s="110">
        <f>(FF:FF+FG:FG+FH:FH)^FE$3+FE$7</f>
        <v>7.2297173905071634</v>
      </c>
      <c r="FF257" s="136">
        <f>IF(SeilBeregnet=0,FF256,(SeilBeregnet^0.5/(Depl^0.3333))^FF$3)</f>
        <v>4.4184544169232707</v>
      </c>
      <c r="FG257" s="136">
        <f>IF(SeilBeregnet=0,FG256,(SeilBeregnet^0.5/Lwl*FG$7)^FG$3)</f>
        <v>1.061683888375716</v>
      </c>
      <c r="FH257" s="136">
        <f>IF(SeilBeregnet=0,FH256,((Loa)/Bredde)^FH$3*FH$7)</f>
        <v>2.2495790852081776</v>
      </c>
      <c r="FI257" s="110">
        <f>IF(SeilBeregnet=0,FI256,(Lwl)^FI$3)</f>
        <v>1.808614233815278</v>
      </c>
      <c r="FJ257" s="110">
        <f>IF(SeilBeregnet=0,"-",FJ$7*(FL:FL+FJ$6)*FO:FO*PropF+ErfaringsF+Dyp_F)</f>
        <v>1.3109965582892693</v>
      </c>
      <c r="FK257" s="144" t="str">
        <f t="shared" si="2029"/>
        <v>-</v>
      </c>
      <c r="FL257" s="110">
        <f>(FM:FM*FN:FN)^FL$3</f>
        <v>9.9396626452562824</v>
      </c>
      <c r="FM257" s="136">
        <f>IF(SeilBeregnet=0,FM256,(SeilBeregnet^0.5/(Depl^0.3333))^FM$3)</f>
        <v>4.4184544169232707</v>
      </c>
      <c r="FN257" s="136">
        <f>IF(SeilBeregnet=0,FN256,(Loa/Bredde)^FN$3)</f>
        <v>2.2495790852081776</v>
      </c>
      <c r="FO257" s="110">
        <f>IF(SeilBeregnet=0,FO256,Lwl^FO$3)</f>
        <v>1.808614233815278</v>
      </c>
      <c r="FQ257" s="374">
        <v>1</v>
      </c>
      <c r="FR257" s="64">
        <f t="shared" si="1902"/>
        <v>1.4551527046552286</v>
      </c>
      <c r="FS257" s="479"/>
      <c r="FT257" s="18"/>
      <c r="FU257" s="481"/>
      <c r="FV257" s="504"/>
      <c r="FW257" s="18"/>
      <c r="FX257" s="18"/>
      <c r="FY257" s="18"/>
      <c r="FZ257" s="18"/>
      <c r="GB257" s="18"/>
      <c r="GC257" s="481"/>
      <c r="GD257" s="8"/>
      <c r="GE257" s="8"/>
      <c r="GF257" s="8"/>
      <c r="GG257" s="8"/>
      <c r="GI257" s="18"/>
      <c r="GJ257" s="18"/>
      <c r="GK257" s="18"/>
      <c r="GL257" s="18"/>
      <c r="GM257" s="18"/>
      <c r="GN257" s="18"/>
      <c r="GO257" s="18"/>
      <c r="GP257" s="18"/>
    </row>
    <row r="258" spans="1:198" ht="15.6" x14ac:dyDescent="0.3">
      <c r="A258" s="62" t="s">
        <v>148</v>
      </c>
      <c r="B258" s="223"/>
      <c r="C258" s="63" t="str">
        <f t="shared" ref="C258:C259" si="2069">C256</f>
        <v>Bermuda</v>
      </c>
      <c r="D258" s="63"/>
      <c r="E258" s="63"/>
      <c r="F258" s="63"/>
      <c r="G258" s="56"/>
      <c r="H258" s="209">
        <f>TBFavrundet</f>
        <v>122</v>
      </c>
      <c r="I258" s="65">
        <f>COUNTA(O258:AD258)</f>
        <v>2</v>
      </c>
      <c r="J258" s="228">
        <f>SUM(O258:AD258)</f>
        <v>110.5</v>
      </c>
      <c r="K258" s="119">
        <f>Seilareal/Depl^0.667/K$7</f>
        <v>1.526708798355769</v>
      </c>
      <c r="L258" s="119">
        <f>Seilareal/Lwl/Lwl/L$7</f>
        <v>1.4644403832846773</v>
      </c>
      <c r="M258" s="95">
        <f>RiggF</f>
        <v>1</v>
      </c>
      <c r="N258" s="265">
        <f>StHfaktor</f>
        <v>1.0641824960673125</v>
      </c>
      <c r="O258" s="147"/>
      <c r="P258" s="147"/>
      <c r="Q258" s="169">
        <v>46</v>
      </c>
      <c r="R258" s="147"/>
      <c r="S258" s="147"/>
      <c r="T258" s="147"/>
      <c r="U258" s="148"/>
      <c r="V258" s="148"/>
      <c r="W258" s="148"/>
      <c r="X258" s="148"/>
      <c r="Y258" s="147"/>
      <c r="Z258" s="147"/>
      <c r="AA258" s="147"/>
      <c r="AB258" s="169">
        <v>64.5</v>
      </c>
      <c r="AC258" s="147"/>
      <c r="AD258" s="148"/>
      <c r="AE258" s="260">
        <f t="shared" si="2055"/>
        <v>17.600000000000001</v>
      </c>
      <c r="AF258" s="375">
        <f t="shared" si="2056"/>
        <v>0</v>
      </c>
      <c r="AG258" s="377"/>
      <c r="AH258" s="375">
        <f t="shared" si="2056"/>
        <v>0</v>
      </c>
      <c r="AI258" s="377"/>
      <c r="AJ258" s="295" t="str">
        <f t="shared" ref="AJ258" si="2070" xml:space="preserve"> AJ257</f>
        <v>Meter</v>
      </c>
      <c r="AK258" s="47">
        <f>VLOOKUP(AJ258,Skrogform!$1:$1048576,3,FALSE)</f>
        <v>1</v>
      </c>
      <c r="AL258" s="66">
        <f t="shared" si="2058"/>
        <v>16.7</v>
      </c>
      <c r="AM258" s="66">
        <f t="shared" si="2059"/>
        <v>10.7</v>
      </c>
      <c r="AN258" s="66">
        <f t="shared" si="2060"/>
        <v>3.3</v>
      </c>
      <c r="AO258" s="66">
        <f t="shared" si="2061"/>
        <v>2.5</v>
      </c>
      <c r="AP258" s="66">
        <f t="shared" si="2062"/>
        <v>17</v>
      </c>
      <c r="AQ258" s="66">
        <f t="shared" si="2063"/>
        <v>8.3000000000000007</v>
      </c>
      <c r="AR258" s="66">
        <f t="shared" si="2063"/>
        <v>0</v>
      </c>
      <c r="AS258" s="284">
        <f t="shared" si="2063"/>
        <v>0</v>
      </c>
      <c r="AT258" s="284">
        <f t="shared" si="2063"/>
        <v>0</v>
      </c>
      <c r="AU258" s="284">
        <f t="shared" ref="AU258:AV258" si="2071">AU257</f>
        <v>200</v>
      </c>
      <c r="AV258" s="284">
        <f t="shared" si="2071"/>
        <v>200</v>
      </c>
      <c r="AW258" s="284"/>
      <c r="AX258" s="284">
        <f>AX257</f>
        <v>0</v>
      </c>
      <c r="AY258" s="68"/>
      <c r="AZ258" s="68"/>
      <c r="BA258" s="289"/>
      <c r="BB258" s="68"/>
      <c r="BC258" s="179"/>
      <c r="BD258" s="68"/>
      <c r="BE258" s="68"/>
      <c r="BF258" s="67">
        <f t="shared" ref="BF258:BH258" si="2072" xml:space="preserve"> BF257</f>
        <v>0</v>
      </c>
      <c r="BG258" s="295">
        <f t="shared" si="2072"/>
        <v>0</v>
      </c>
      <c r="BH258" s="295">
        <f t="shared" si="2072"/>
        <v>0</v>
      </c>
      <c r="BI258" s="47">
        <f t="shared" si="1903"/>
        <v>1</v>
      </c>
      <c r="BJ258" s="61"/>
      <c r="BK258" s="61"/>
      <c r="BM258" s="51">
        <f t="shared" si="2067"/>
        <v>0</v>
      </c>
      <c r="BN258" s="51">
        <f t="shared" si="2067"/>
        <v>0</v>
      </c>
      <c r="BO258" s="51">
        <f t="shared" si="2067"/>
        <v>46</v>
      </c>
      <c r="BP258" s="51">
        <f t="shared" si="2067"/>
        <v>0</v>
      </c>
      <c r="BQ258" s="51">
        <f t="shared" si="2067"/>
        <v>0</v>
      </c>
      <c r="BR258" s="51">
        <f t="shared" si="2067"/>
        <v>0</v>
      </c>
      <c r="BS258" s="52">
        <f>IF(COUNT(P258:T258)&gt;1,MINA(P258:T258)*BS$9,0)</f>
        <v>0</v>
      </c>
      <c r="BT258" s="88">
        <f t="shared" si="2068"/>
        <v>0</v>
      </c>
      <c r="BU258" s="88">
        <f t="shared" si="2068"/>
        <v>0</v>
      </c>
      <c r="BV258" s="88">
        <f t="shared" si="2068"/>
        <v>0</v>
      </c>
      <c r="BW258" s="88">
        <f t="shared" si="2068"/>
        <v>0</v>
      </c>
      <c r="BX258" s="88">
        <f t="shared" si="2068"/>
        <v>0</v>
      </c>
      <c r="BY258" s="88">
        <f t="shared" si="2068"/>
        <v>0</v>
      </c>
      <c r="BZ258" s="88">
        <f t="shared" si="2068"/>
        <v>0</v>
      </c>
      <c r="CA258" s="88">
        <f t="shared" si="2068"/>
        <v>64.5</v>
      </c>
      <c r="CB258" s="88">
        <f t="shared" si="2068"/>
        <v>0</v>
      </c>
      <c r="CC258" s="88">
        <f t="shared" si="2068"/>
        <v>0</v>
      </c>
      <c r="CD258" s="103">
        <f>SUM(BM258:CC258)</f>
        <v>110.5</v>
      </c>
      <c r="CE258" s="52"/>
      <c r="CF258" s="107">
        <f>J258</f>
        <v>110.5</v>
      </c>
      <c r="CG258" s="104">
        <f>CD258/CF258</f>
        <v>1</v>
      </c>
      <c r="CH258" s="53">
        <f>Seilareal/Lwl/Lwl</f>
        <v>0.96514979474189899</v>
      </c>
      <c r="CI258" s="119">
        <f>Seilareal/Depl^0.667/K$7</f>
        <v>1.526708798355769</v>
      </c>
      <c r="CJ258" s="53">
        <f>Seilareal/Lwl/Lwl/SApRS1</f>
        <v>1.4644403832846773</v>
      </c>
      <c r="CK258" s="209"/>
      <c r="CL258" s="209">
        <f>(ROUND(TBF/CL$6,3)*CL$6)*CL$4</f>
        <v>122</v>
      </c>
      <c r="CM258" s="110">
        <f t="shared" si="1772"/>
        <v>1.2213311101781339</v>
      </c>
      <c r="CN258" s="64">
        <f>IF(SeilBeregnet=0,"-",(SeilBeregnet)^(1/2)*StHfaktor/(Depl+DeplTillegg/1000+Vann/1000+Diesel/1000*0.84)^(1/3))</f>
        <v>4.3031829384124061</v>
      </c>
      <c r="CO258" s="64">
        <f t="shared" si="1759"/>
        <v>2.0375267241229382</v>
      </c>
      <c r="CP258" s="64">
        <f t="shared" si="1760"/>
        <v>1.808614233815278</v>
      </c>
      <c r="CQ258" s="110">
        <f t="shared" si="1761"/>
        <v>1.0641824960673125</v>
      </c>
      <c r="CR258" s="172" t="str">
        <f t="shared" si="2004"/>
        <v>-</v>
      </c>
      <c r="CS258" s="162"/>
      <c r="CT258" s="172" t="str">
        <f t="shared" ref="CT258:CT265" si="2073">IF(CU258=0,"-",IF(CL258="TBF","-",CT$7*CU258))</f>
        <v>-</v>
      </c>
      <c r="CU258" s="164"/>
      <c r="CV258" s="195" t="s">
        <v>145</v>
      </c>
      <c r="CW258" s="64" t="s">
        <v>111</v>
      </c>
      <c r="CX258" s="64" t="s">
        <v>111</v>
      </c>
      <c r="CY258" s="64" t="s">
        <v>111</v>
      </c>
      <c r="CZ258" s="154" t="s">
        <v>111</v>
      </c>
      <c r="DA258" s="64">
        <f t="shared" si="1951"/>
        <v>2.290961124677549</v>
      </c>
      <c r="DB258" s="49">
        <f t="shared" si="1904"/>
        <v>16.666666666666664</v>
      </c>
      <c r="DC258" s="50">
        <f t="shared" si="1905"/>
        <v>0</v>
      </c>
      <c r="DE258" s="110">
        <f>IF(SeilBeregnet=0,"-",DE$7*(DG:DG+DE$6)*DL:DL*PropF+ErfaringsF+Dyp_F)</f>
        <v>1.1577917819570358</v>
      </c>
      <c r="DF258" s="144" t="str">
        <f t="shared" si="2024"/>
        <v>-</v>
      </c>
      <c r="DG258" s="110">
        <f t="shared" si="1959"/>
        <v>6.3381592135818821</v>
      </c>
      <c r="DH258" s="136">
        <f>IF(SeilBeregnet=0,DH256,(SeilBeregnet^0.5/(Depl^0.3333))^DH$3*DH$7)</f>
        <v>4.088580128373704</v>
      </c>
      <c r="DI258" s="136">
        <f>IF(SeilBeregnet=0,DI256,(SeilBeregnet^0.5/Lwl)^DI$3*DI$7)</f>
        <v>0</v>
      </c>
      <c r="DJ258" s="136">
        <f>IF(SeilBeregnet=0,DJ256,(0.1*Loa/Depl^0.3333)^DJ$3*DJ$7)</f>
        <v>0</v>
      </c>
      <c r="DK258" s="136">
        <f>IF(SeilBeregnet=0,DK256,((Loa)/Bredde)^DK$3*DK$7)</f>
        <v>2.2495790852081776</v>
      </c>
      <c r="DL258" s="110">
        <f>IF(SeilBeregnet=0,DL256,(Lwl)^DL$3)</f>
        <v>1.808614233815278</v>
      </c>
      <c r="DM258" s="136">
        <f>IF(SeilBeregnet=0,DM256,(Dypg/Loa)^DM$3*5*DM$7)</f>
        <v>1.9345580813353422</v>
      </c>
      <c r="DO258" s="110">
        <f t="shared" si="669"/>
        <v>1.2213311101781339</v>
      </c>
      <c r="DP258" s="110">
        <f t="shared" si="1952"/>
        <v>1.1909501565830074</v>
      </c>
      <c r="DR258" s="110">
        <f t="shared" si="1953"/>
        <v>1.1705549877033283</v>
      </c>
      <c r="DS258" s="125" t="str">
        <f t="shared" si="2025"/>
        <v>-</v>
      </c>
      <c r="DT258" s="110">
        <f t="shared" si="1966"/>
        <v>1.1838440045281302</v>
      </c>
      <c r="DU258" s="125" t="str">
        <f t="shared" si="2026"/>
        <v>-</v>
      </c>
      <c r="DV258" s="110">
        <f>IF(SeilBeregnet=0,DV257,SeilBeregnet^0.5/Depl^0.33333)</f>
        <v>4.0882326285486918</v>
      </c>
      <c r="DW258" s="110">
        <f>IF(SeilBeregnet=0,DW257,Lwl^0.3333)</f>
        <v>2.2034013597348872</v>
      </c>
      <c r="DX258" s="110">
        <f>IF(SeilBeregnet=0,DX257,((Loa+Lwl)/Bredde)^DX$3)</f>
        <v>1.6974975484377828</v>
      </c>
      <c r="DZ258" s="110">
        <f t="shared" si="1967"/>
        <v>1.1802749568199806</v>
      </c>
      <c r="EB258" s="110">
        <f>IF(SeilBeregnet=0,EB257,SeilBeregnet^0.5/Depl^0.33333)</f>
        <v>4.0882326285486918</v>
      </c>
      <c r="EC258" s="110">
        <f>IF(SeilBeregnet=0,EC257,Lwl^EC$3)</f>
        <v>2.2035580432539792</v>
      </c>
      <c r="ED258" s="110">
        <f>IF(SeilBeregnet=0,ED257,((Loa+Lwl)/Bredde)^ED$3)</f>
        <v>2.0247973624437603</v>
      </c>
      <c r="EE258" s="110">
        <f t="shared" si="1968"/>
        <v>1.1640329164830188</v>
      </c>
      <c r="EG258" s="110">
        <f>IF(SeilBeregnet=0,EG257,(EH258*EI258)^EG$3)</f>
        <v>6.9397648644047569</v>
      </c>
      <c r="EH258" s="110">
        <f>IF(SeilBeregnet=0,EH257,SeilBeregnet^0.5/Depl^0.33333)</f>
        <v>4.0882326285486918</v>
      </c>
      <c r="EI258" s="110">
        <f>IF(SeilBeregnet=0,EI257,((Loa+Lwl)/Bredde)^EI$3)</f>
        <v>1.6974975484377828</v>
      </c>
      <c r="EJ258" s="110">
        <f>IF(SeilBeregnet=0,EJ257,Lwl^EJ$3)</f>
        <v>1.808614233815278</v>
      </c>
      <c r="EK258" s="110">
        <f>IF(SeilBeregnet=0,"-",EK$7*(EK$4*EM:EM+EK$6)*EP:EP*PropF+ErfaringsF+Dyp_F)</f>
        <v>1.1722694527179467</v>
      </c>
      <c r="EM258" s="110">
        <f>IF(SeilBeregnet=0,EM257,(EN:EN*EO:EO)^EM$3)</f>
        <v>2.1057338163219934</v>
      </c>
      <c r="EN258" s="110">
        <f>IF(SeilBeregnet=0,EN257,SeilBeregnet^0.5/Depl^0.33333)</f>
        <v>4.0882326285486918</v>
      </c>
      <c r="EO258" s="110">
        <f>IF(SeilBeregnet=0,EO257,((Loa+Lwl)/Bredde/6)^EO$3)</f>
        <v>1.0846043530492742</v>
      </c>
      <c r="EP258" s="110">
        <f>IF(SeilBeregnet=0,EP257,(Lwl*0.7+Loa*0.3)^EP$3)</f>
        <v>1.8803015465431969</v>
      </c>
      <c r="EQ258" s="110">
        <f>IF(SeilBeregnet=0,"-",EQ$7*(ES:ES+EQ$6)*EV:EV*PropF+ErfaringsF+Dyp_F)</f>
        <v>1.0834962044063652</v>
      </c>
      <c r="ES258" s="110">
        <f>(ET:ET*EU:EU)^ES$3</f>
        <v>2.1058233081208115</v>
      </c>
      <c r="ET258" s="110">
        <f>IF(SeilBeregnet=0,ET257,SeilBeregnet^0.5/Depl^0.3333)</f>
        <v>4.088580128373704</v>
      </c>
      <c r="EU258" s="110">
        <f>IF(SeilBeregnet=0,EU257,((Loa+Lwl)/Bredde/6)^EU$3)</f>
        <v>1.0846043530492742</v>
      </c>
      <c r="EV258" s="110">
        <f>IF(SeilBeregnet=0,EV257,(Lwl*0.7+Loa*0.3)^EV$3)</f>
        <v>1.8803015465431969</v>
      </c>
      <c r="EW258" s="110">
        <f>IF(SeilBeregnet=0,"-",EW$7*(EY:EY+EW$6)*FB:FB*PropF+ErfaringsF+Dyp_F)</f>
        <v>1.2312595825641686</v>
      </c>
      <c r="EX258" s="144" t="str">
        <f t="shared" si="2027"/>
        <v>-</v>
      </c>
      <c r="EY258" s="110">
        <f>(EZ:EZ*FA:FA)^EY$3</f>
        <v>4.8096691152913182</v>
      </c>
      <c r="EZ258" s="136">
        <f>IF(SeilBeregnet=0,EZ257,(SeilBeregnet^0.5/(Depl^0.3333))^EZ$3)</f>
        <v>4.088580128373704</v>
      </c>
      <c r="FA258" s="136">
        <f>IF(SeilBeregnet=0,FA257,((Loa+Lwl)/Bredde/6)^FA$3)</f>
        <v>1.1763666026534347</v>
      </c>
      <c r="FB258" s="110">
        <f>IF(SeilBeregnet=0,FB257,(Lwl*0.07+Loa*0.03)^FB$3)</f>
        <v>1.0573712634405641</v>
      </c>
      <c r="FC258" s="110">
        <f>IF(SeilBeregnet=0,"-",FC$7*(FE:FE+FC$6)*FI:FI*PropF+ErfaringsF+Dyp_F)</f>
        <v>1.1842365435057129</v>
      </c>
      <c r="FD258" s="144" t="str">
        <f t="shared" si="2028"/>
        <v>-</v>
      </c>
      <c r="FE258" s="110">
        <f>(FF:FF+FG:FG+FH:FH)^FE$3+FE$7</f>
        <v>6.8205795893589212</v>
      </c>
      <c r="FF258" s="136">
        <f>IF(SeilBeregnet=0,FF257,(SeilBeregnet^0.5/(Depl^0.3333))^FF$3)</f>
        <v>4.088580128373704</v>
      </c>
      <c r="FG258" s="136">
        <f>IF(SeilBeregnet=0,FG257,(SeilBeregnet^0.5/Lwl*FG$7)^FG$3)</f>
        <v>0.98242037577703922</v>
      </c>
      <c r="FH258" s="136">
        <f>IF(SeilBeregnet=0,FH257,((Loa)/Bredde)^FH$3*FH$7)</f>
        <v>2.2495790852081776</v>
      </c>
      <c r="FI258" s="110">
        <f>IF(SeilBeregnet=0,FI257,(Lwl)^FI$3)</f>
        <v>1.808614233815278</v>
      </c>
      <c r="FJ258" s="110">
        <f>IF(SeilBeregnet=0,"-",FJ$7*(FL:FL+FJ$6)*FO:FO*PropF+ErfaringsF+Dyp_F)</f>
        <v>1.2412056227127244</v>
      </c>
      <c r="FK258" s="144" t="str">
        <f t="shared" si="2029"/>
        <v>-</v>
      </c>
      <c r="FL258" s="110">
        <f>(FM:FM*FN:FN)^FL$3</f>
        <v>9.1975843449872503</v>
      </c>
      <c r="FM258" s="136">
        <f>IF(SeilBeregnet=0,FM257,(SeilBeregnet^0.5/(Depl^0.3333))^FM$3)</f>
        <v>4.088580128373704</v>
      </c>
      <c r="FN258" s="136">
        <f>IF(SeilBeregnet=0,FN257,(Loa/Bredde)^FN$3)</f>
        <v>2.2495790852081776</v>
      </c>
      <c r="FO258" s="110">
        <f>IF(SeilBeregnet=0,FO257,Lwl^FO$3)</f>
        <v>1.808614233815278</v>
      </c>
      <c r="FQ258" s="374">
        <v>1</v>
      </c>
      <c r="FR258" s="64">
        <f t="shared" si="1902"/>
        <v>1.3993560985566056</v>
      </c>
      <c r="FS258" s="479"/>
      <c r="FT258" s="18"/>
      <c r="FU258" s="481"/>
      <c r="FV258" s="504"/>
      <c r="FW258" s="18"/>
      <c r="FX258" s="18"/>
      <c r="FY258" s="18"/>
      <c r="FZ258" s="18"/>
      <c r="GB258" s="18"/>
      <c r="GC258" s="481"/>
      <c r="GD258" s="8"/>
      <c r="GE258" s="8"/>
      <c r="GF258" s="8"/>
      <c r="GG258" s="8"/>
      <c r="GI258" s="18"/>
      <c r="GJ258" s="18"/>
      <c r="GK258" s="18"/>
      <c r="GL258" s="18"/>
      <c r="GM258" s="18"/>
      <c r="GN258" s="18"/>
      <c r="GO258" s="18"/>
      <c r="GP258" s="18"/>
    </row>
    <row r="259" spans="1:198" ht="15.6" x14ac:dyDescent="0.3">
      <c r="A259" s="62" t="s">
        <v>36</v>
      </c>
      <c r="B259" s="223"/>
      <c r="C259" s="63" t="str">
        <f t="shared" si="2069"/>
        <v>Bermuda</v>
      </c>
      <c r="D259" s="63"/>
      <c r="E259" s="63"/>
      <c r="F259" s="63"/>
      <c r="G259" s="56"/>
      <c r="H259" s="209">
        <f>TBFavrundet</f>
        <v>114.5</v>
      </c>
      <c r="I259" s="65">
        <f>COUNTA(O259:AD259)</f>
        <v>2</v>
      </c>
      <c r="J259" s="228">
        <f>SUM(O259:AD259)</f>
        <v>91</v>
      </c>
      <c r="K259" s="119">
        <f>Seilareal/Depl^0.667/K$7</f>
        <v>1.2572895986459276</v>
      </c>
      <c r="L259" s="119">
        <f>Seilareal/Lwl/Lwl/L$7</f>
        <v>1.2060097274109107</v>
      </c>
      <c r="M259" s="95">
        <f>RiggF</f>
        <v>1</v>
      </c>
      <c r="N259" s="265">
        <f>StHfaktor</f>
        <v>1.0641824960673125</v>
      </c>
      <c r="O259" s="147"/>
      <c r="P259" s="147"/>
      <c r="Q259" s="147"/>
      <c r="R259" s="147"/>
      <c r="S259" s="147"/>
      <c r="T259" s="169">
        <v>26.5</v>
      </c>
      <c r="U259" s="148"/>
      <c r="V259" s="148"/>
      <c r="W259" s="148"/>
      <c r="X259" s="148"/>
      <c r="Y259" s="147"/>
      <c r="Z259" s="147"/>
      <c r="AA259" s="147"/>
      <c r="AB259" s="169">
        <v>64.5</v>
      </c>
      <c r="AC259" s="147"/>
      <c r="AD259" s="148"/>
      <c r="AE259" s="260">
        <f t="shared" si="2055"/>
        <v>17.600000000000001</v>
      </c>
      <c r="AF259" s="375">
        <f t="shared" si="2056"/>
        <v>0</v>
      </c>
      <c r="AG259" s="377"/>
      <c r="AH259" s="375">
        <f t="shared" si="2056"/>
        <v>0</v>
      </c>
      <c r="AI259" s="377"/>
      <c r="AJ259" s="295" t="str">
        <f t="shared" ref="AJ259" si="2074" xml:space="preserve"> AJ258</f>
        <v>Meter</v>
      </c>
      <c r="AK259" s="47">
        <f>VLOOKUP(AJ259,Skrogform!$1:$1048576,3,FALSE)</f>
        <v>1</v>
      </c>
      <c r="AL259" s="66">
        <f t="shared" si="2058"/>
        <v>16.7</v>
      </c>
      <c r="AM259" s="66">
        <f t="shared" si="2059"/>
        <v>10.7</v>
      </c>
      <c r="AN259" s="66">
        <f t="shared" si="2060"/>
        <v>3.3</v>
      </c>
      <c r="AO259" s="66">
        <f t="shared" si="2061"/>
        <v>2.5</v>
      </c>
      <c r="AP259" s="66">
        <f t="shared" si="2062"/>
        <v>17</v>
      </c>
      <c r="AQ259" s="66">
        <f t="shared" si="2063"/>
        <v>8.3000000000000007</v>
      </c>
      <c r="AR259" s="66">
        <f t="shared" si="2063"/>
        <v>0</v>
      </c>
      <c r="AS259" s="284">
        <f t="shared" si="2063"/>
        <v>0</v>
      </c>
      <c r="AT259" s="284">
        <f t="shared" si="2063"/>
        <v>0</v>
      </c>
      <c r="AU259" s="284">
        <f t="shared" ref="AU259:AV259" si="2075">AU258</f>
        <v>200</v>
      </c>
      <c r="AV259" s="284">
        <f t="shared" si="2075"/>
        <v>200</v>
      </c>
      <c r="AW259" s="284"/>
      <c r="AX259" s="284">
        <f>AX258</f>
        <v>0</v>
      </c>
      <c r="AY259" s="68"/>
      <c r="AZ259" s="68"/>
      <c r="BA259" s="289"/>
      <c r="BB259" s="68"/>
      <c r="BC259" s="179"/>
      <c r="BD259" s="68"/>
      <c r="BE259" s="68"/>
      <c r="BF259" s="67">
        <f t="shared" ref="BF259:BH259" si="2076" xml:space="preserve"> BF258</f>
        <v>0</v>
      </c>
      <c r="BG259" s="295">
        <f t="shared" si="2076"/>
        <v>0</v>
      </c>
      <c r="BH259" s="295">
        <f t="shared" si="2076"/>
        <v>0</v>
      </c>
      <c r="BI259" s="47">
        <f t="shared" si="1903"/>
        <v>1</v>
      </c>
      <c r="BJ259" s="61"/>
      <c r="BK259" s="61"/>
      <c r="BM259" s="51">
        <f t="shared" si="2067"/>
        <v>0</v>
      </c>
      <c r="BN259" s="51">
        <f t="shared" si="2067"/>
        <v>0</v>
      </c>
      <c r="BO259" s="51">
        <f t="shared" si="2067"/>
        <v>0</v>
      </c>
      <c r="BP259" s="51">
        <f t="shared" si="2067"/>
        <v>0</v>
      </c>
      <c r="BQ259" s="51">
        <f t="shared" si="2067"/>
        <v>0</v>
      </c>
      <c r="BR259" s="51">
        <f t="shared" si="2067"/>
        <v>26.5</v>
      </c>
      <c r="BS259" s="52">
        <f>IF(COUNT(P259:T259)&gt;1,MINA(P259:T259)*BS$9,0)</f>
        <v>0</v>
      </c>
      <c r="BT259" s="88">
        <f t="shared" si="2068"/>
        <v>0</v>
      </c>
      <c r="BU259" s="88">
        <f t="shared" si="2068"/>
        <v>0</v>
      </c>
      <c r="BV259" s="88">
        <f t="shared" si="2068"/>
        <v>0</v>
      </c>
      <c r="BW259" s="88">
        <f t="shared" si="2068"/>
        <v>0</v>
      </c>
      <c r="BX259" s="88">
        <f t="shared" si="2068"/>
        <v>0</v>
      </c>
      <c r="BY259" s="88">
        <f t="shared" si="2068"/>
        <v>0</v>
      </c>
      <c r="BZ259" s="88">
        <f t="shared" si="2068"/>
        <v>0</v>
      </c>
      <c r="CA259" s="88">
        <f t="shared" si="2068"/>
        <v>64.5</v>
      </c>
      <c r="CB259" s="88">
        <f t="shared" si="2068"/>
        <v>0</v>
      </c>
      <c r="CC259" s="88">
        <f t="shared" si="2068"/>
        <v>0</v>
      </c>
      <c r="CD259" s="103">
        <f>SUM(BM259:CC259)</f>
        <v>91</v>
      </c>
      <c r="CE259" s="52"/>
      <c r="CF259" s="107">
        <f>J259</f>
        <v>91</v>
      </c>
      <c r="CG259" s="104">
        <f>CD259/CF259</f>
        <v>1</v>
      </c>
      <c r="CH259" s="53">
        <f>Seilareal/Lwl/Lwl</f>
        <v>0.79482924272862265</v>
      </c>
      <c r="CI259" s="119">
        <f>Seilareal/Depl^0.667/K$7</f>
        <v>1.2572895986459276</v>
      </c>
      <c r="CJ259" s="53">
        <f>Seilareal/Lwl/Lwl/SApRS1</f>
        <v>1.2060097274109107</v>
      </c>
      <c r="CK259" s="209"/>
      <c r="CL259" s="209">
        <f>(ROUND(TBF/CL$6,3)*CL$6)*CL$4</f>
        <v>114.5</v>
      </c>
      <c r="CM259" s="110">
        <f t="shared" si="1772"/>
        <v>1.1446485657433323</v>
      </c>
      <c r="CN259" s="64">
        <f>IF(SeilBeregnet=0,"-",(SeilBeregnet)^(1/2)*StHfaktor/(Depl+DeplTillegg/1000+Vann/1000+Diesel/1000*0.84)^(1/3))</f>
        <v>3.905074885327092</v>
      </c>
      <c r="CO259" s="64">
        <f t="shared" si="1759"/>
        <v>2.0375267241229382</v>
      </c>
      <c r="CP259" s="64">
        <f t="shared" si="1760"/>
        <v>1.808614233815278</v>
      </c>
      <c r="CQ259" s="110">
        <f t="shared" si="1761"/>
        <v>1.0641824960673125</v>
      </c>
      <c r="CR259" s="172" t="str">
        <f t="shared" si="2004"/>
        <v>-</v>
      </c>
      <c r="CS259" s="162"/>
      <c r="CT259" s="172" t="str">
        <f t="shared" si="2073"/>
        <v>-</v>
      </c>
      <c r="CU259" s="164"/>
      <c r="CV259" s="195" t="s">
        <v>145</v>
      </c>
      <c r="CW259" s="64" t="s">
        <v>111</v>
      </c>
      <c r="CX259" s="64" t="s">
        <v>111</v>
      </c>
      <c r="CY259" s="64" t="s">
        <v>111</v>
      </c>
      <c r="CZ259" s="154" t="s">
        <v>111</v>
      </c>
      <c r="DA259" s="64">
        <f t="shared" si="1951"/>
        <v>2.290961124677549</v>
      </c>
      <c r="DB259" s="49">
        <f t="shared" si="1904"/>
        <v>16.666666666666664</v>
      </c>
      <c r="DC259" s="50">
        <f t="shared" si="1905"/>
        <v>0</v>
      </c>
      <c r="DE259" s="110">
        <f>IF(SeilBeregnet=0,"-",DE$7*(DG:DG+DE$6)*DL:DL*PropF+ErfaringsF+Dyp_F)</f>
        <v>1.0886960876615051</v>
      </c>
      <c r="DF259" s="144" t="str">
        <f t="shared" si="2024"/>
        <v>-</v>
      </c>
      <c r="DG259" s="110">
        <f t="shared" si="1959"/>
        <v>5.9599050937626874</v>
      </c>
      <c r="DH259" s="136">
        <f>IF(SeilBeregnet=0,DH257,(SeilBeregnet^0.5/(Depl^0.3333))^DH$3*DH$7)</f>
        <v>3.7103260085545093</v>
      </c>
      <c r="DI259" s="136">
        <f>IF(SeilBeregnet=0,DI257,(SeilBeregnet^0.5/Lwl)^DI$3*DI$7)</f>
        <v>0</v>
      </c>
      <c r="DJ259" s="136">
        <f>IF(SeilBeregnet=0,DJ257,(0.1*Loa/Depl^0.3333)^DJ$3*DJ$7)</f>
        <v>0</v>
      </c>
      <c r="DK259" s="136">
        <f>IF(SeilBeregnet=0,DK257,((Loa)/Bredde)^DK$3*DK$7)</f>
        <v>2.2495790852081776</v>
      </c>
      <c r="DL259" s="110">
        <f>IF(SeilBeregnet=0,DL257,(Lwl)^DL$3)</f>
        <v>1.808614233815278</v>
      </c>
      <c r="DM259" s="136">
        <f>IF(SeilBeregnet=0,DM257,(Dypg/Loa)^DM$3*5*DM$7)</f>
        <v>1.9345580813353422</v>
      </c>
      <c r="DO259" s="110">
        <f t="shared" si="669"/>
        <v>1.1446485657433321</v>
      </c>
      <c r="DP259" s="110">
        <f t="shared" si="1952"/>
        <v>1.0990239039919785</v>
      </c>
      <c r="DR259" s="110">
        <f t="shared" si="1953"/>
        <v>1.0933395710857199</v>
      </c>
      <c r="DS259" s="125" t="str">
        <f t="shared" si="2025"/>
        <v>-</v>
      </c>
      <c r="DT259" s="110">
        <f t="shared" si="1966"/>
        <v>1.0951923091569151</v>
      </c>
      <c r="DU259" s="125" t="str">
        <f t="shared" si="2026"/>
        <v>-</v>
      </c>
      <c r="DV259" s="110">
        <f>IF(SeilBeregnet=0,DV258,SeilBeregnet^0.5/Depl^0.33333)</f>
        <v>3.7100106576018002</v>
      </c>
      <c r="DW259" s="110">
        <f>IF(SeilBeregnet=0,DW258,Lwl^0.3333)</f>
        <v>2.2034013597348872</v>
      </c>
      <c r="DX259" s="110">
        <f>IF(SeilBeregnet=0,DX258,((Loa+Lwl)/Bredde)^DX$3)</f>
        <v>1.6974975484377828</v>
      </c>
      <c r="DZ259" s="110">
        <f t="shared" si="1967"/>
        <v>1.0981092247015933</v>
      </c>
      <c r="EB259" s="110">
        <f>IF(SeilBeregnet=0,EB258,SeilBeregnet^0.5/Depl^0.33333)</f>
        <v>3.7100106576018002</v>
      </c>
      <c r="EC259" s="110">
        <f>IF(SeilBeregnet=0,EC258,Lwl^EC$3)</f>
        <v>2.2035580432539792</v>
      </c>
      <c r="ED259" s="110">
        <f>IF(SeilBeregnet=0,ED258,((Loa+Lwl)/Bredde)^ED$3)</f>
        <v>2.0247973624437603</v>
      </c>
      <c r="EE259" s="110">
        <f t="shared" si="1968"/>
        <v>1.0804350729595349</v>
      </c>
      <c r="EG259" s="110">
        <f>IF(SeilBeregnet=0,EG258,(EH259*EI259)^EG$3)</f>
        <v>6.2977339959571017</v>
      </c>
      <c r="EH259" s="110">
        <f>IF(SeilBeregnet=0,EH258,SeilBeregnet^0.5/Depl^0.33333)</f>
        <v>3.7100106576018002</v>
      </c>
      <c r="EI259" s="110">
        <f>IF(SeilBeregnet=0,EI258,((Loa+Lwl)/Bredde)^EI$3)</f>
        <v>1.6974975484377828</v>
      </c>
      <c r="EJ259" s="110">
        <f>IF(SeilBeregnet=0,EJ258,Lwl^EJ$3)</f>
        <v>1.808614233815278</v>
      </c>
      <c r="EK259" s="110">
        <f>IF(SeilBeregnet=0,"-",EK$7*(EK$4*EM:EM+EK$6)*EP:EP*PropF+ErfaringsF+Dyp_F)</f>
        <v>1.0994326714605105</v>
      </c>
      <c r="EM259" s="110">
        <f>IF(SeilBeregnet=0,EM258,(EN:EN*EO:EO)^EM$3)</f>
        <v>2.0059645333589806</v>
      </c>
      <c r="EN259" s="110">
        <f>IF(SeilBeregnet=0,EN258,SeilBeregnet^0.5/Depl^0.33333)</f>
        <v>3.7100106576018002</v>
      </c>
      <c r="EO259" s="110">
        <f>IF(SeilBeregnet=0,EO258,((Loa+Lwl)/Bredde/6)^EO$3)</f>
        <v>1.0846043530492742</v>
      </c>
      <c r="EP259" s="110">
        <f>IF(SeilBeregnet=0,EP258,(Lwl*0.7+Loa*0.3)^EP$3)</f>
        <v>1.8803015465431969</v>
      </c>
      <c r="EQ259" s="110">
        <f>IF(SeilBeregnet=0,"-",EQ$7*(ES:ES+EQ$6)*EV:EV*PropF+ErfaringsF+Dyp_F)</f>
        <v>1.0321603524725331</v>
      </c>
      <c r="ES259" s="110">
        <f>(ET:ET*EU:EU)^ES$3</f>
        <v>2.0060497850527437</v>
      </c>
      <c r="ET259" s="110">
        <f>IF(SeilBeregnet=0,ET258,SeilBeregnet^0.5/Depl^0.3333)</f>
        <v>3.7103260085545093</v>
      </c>
      <c r="EU259" s="110">
        <f>IF(SeilBeregnet=0,EU258,((Loa+Lwl)/Bredde/6)^EU$3)</f>
        <v>1.0846043530492742</v>
      </c>
      <c r="EV259" s="110">
        <f>IF(SeilBeregnet=0,EV258,(Lwl*0.7+Loa*0.3)^EV$3)</f>
        <v>1.8803015465431969</v>
      </c>
      <c r="EW259" s="110">
        <f>IF(SeilBeregnet=0,"-",EW$7*(EY:EY+EW$6)*FB:FB*PropF+ErfaringsF+Dyp_F)</f>
        <v>1.1508051517263382</v>
      </c>
      <c r="EX259" s="144" t="str">
        <f t="shared" si="2027"/>
        <v>-</v>
      </c>
      <c r="EY259" s="110">
        <f>(EZ:EZ*FA:FA)^EY$3</f>
        <v>4.3647036014199472</v>
      </c>
      <c r="EZ259" s="136">
        <f>IF(SeilBeregnet=0,EZ258,(SeilBeregnet^0.5/(Depl^0.3333))^EZ$3)</f>
        <v>3.7103260085545093</v>
      </c>
      <c r="FA259" s="136">
        <f>IF(SeilBeregnet=0,FA258,((Loa+Lwl)/Bredde/6)^FA$3)</f>
        <v>1.1763666026534347</v>
      </c>
      <c r="FB259" s="110">
        <f>IF(SeilBeregnet=0,FB258,(Lwl*0.07+Loa*0.03)^FB$3)</f>
        <v>1.0573712634405641</v>
      </c>
      <c r="FC259" s="110">
        <f>IF(SeilBeregnet=0,"-",FC$7*(FE:FE+FC$6)*FI:FI*PropF+ErfaringsF+Dyp_F)</f>
        <v>1.1027807489035051</v>
      </c>
      <c r="FD259" s="144" t="str">
        <f t="shared" si="2028"/>
        <v>-</v>
      </c>
      <c r="FE259" s="110">
        <f>(FF:FF+FG:FG+FH:FH)^FE$3+FE$7</f>
        <v>6.3514370577037571</v>
      </c>
      <c r="FF259" s="136">
        <f>IF(SeilBeregnet=0,FF258,(SeilBeregnet^0.5/(Depl^0.3333))^FF$3)</f>
        <v>3.7103260085545093</v>
      </c>
      <c r="FG259" s="136">
        <f>IF(SeilBeregnet=0,FG258,(SeilBeregnet^0.5/Lwl*FG$7)^FG$3)</f>
        <v>0.8915319639410707</v>
      </c>
      <c r="FH259" s="136">
        <f>IF(SeilBeregnet=0,FH258,((Loa)/Bredde)^FH$3*FH$7)</f>
        <v>2.2495790852081776</v>
      </c>
      <c r="FI259" s="110">
        <f>IF(SeilBeregnet=0,FI258,(Lwl)^FI$3)</f>
        <v>1.808614233815278</v>
      </c>
      <c r="FJ259" s="110">
        <f>IF(SeilBeregnet=0,"-",FJ$7*(FL:FL+FJ$6)*FO:FO*PropF+ErfaringsF+Dyp_F)</f>
        <v>1.1611790494870953</v>
      </c>
      <c r="FK259" s="144" t="str">
        <f t="shared" si="2029"/>
        <v>-</v>
      </c>
      <c r="FL259" s="110">
        <f>(FM:FM*FN:FN)^FL$3</f>
        <v>8.3466717881481625</v>
      </c>
      <c r="FM259" s="136">
        <f>IF(SeilBeregnet=0,FM258,(SeilBeregnet^0.5/(Depl^0.3333))^FM$3)</f>
        <v>3.7103260085545093</v>
      </c>
      <c r="FN259" s="136">
        <f>IF(SeilBeregnet=0,FN258,(Loa/Bredde)^FN$3)</f>
        <v>2.2495790852081776</v>
      </c>
      <c r="FO259" s="110">
        <f>IF(SeilBeregnet=0,FO258,Lwl^FO$3)</f>
        <v>1.808614233815278</v>
      </c>
      <c r="FQ259" s="374">
        <v>1</v>
      </c>
      <c r="FR259" s="64">
        <f t="shared" si="1902"/>
        <v>1.3353762830289042</v>
      </c>
      <c r="FS259" s="479"/>
      <c r="FT259" s="18"/>
      <c r="FU259" s="481"/>
      <c r="FV259" s="504"/>
      <c r="FW259" s="18"/>
      <c r="FX259" s="18"/>
      <c r="FY259" s="18"/>
      <c r="FZ259" s="18"/>
      <c r="GB259" s="18"/>
      <c r="GC259" s="481"/>
      <c r="GD259" s="8"/>
      <c r="GE259" s="8"/>
      <c r="GF259" s="8"/>
      <c r="GG259" s="8"/>
      <c r="GI259" s="18"/>
      <c r="GJ259" s="18"/>
      <c r="GK259" s="18"/>
      <c r="GL259" s="18"/>
      <c r="GM259" s="18"/>
      <c r="GN259" s="18"/>
      <c r="GO259" s="18"/>
      <c r="GP259" s="18"/>
    </row>
    <row r="260" spans="1:198" ht="15.6" x14ac:dyDescent="0.3">
      <c r="A260" s="54" t="s">
        <v>253</v>
      </c>
      <c r="B260" s="223">
        <f t="shared" si="1970"/>
        <v>69.717847769028864</v>
      </c>
      <c r="C260" s="55" t="s">
        <v>41</v>
      </c>
      <c r="D260" s="55"/>
      <c r="E260" s="55"/>
      <c r="F260" s="55"/>
      <c r="G260" s="56"/>
      <c r="H260" s="209"/>
      <c r="I260" s="126" t="str">
        <f>A260</f>
        <v>VEMA III</v>
      </c>
      <c r="J260" s="229"/>
      <c r="K260" s="119"/>
      <c r="L260" s="119"/>
      <c r="M260" s="95"/>
      <c r="N260" s="265"/>
      <c r="O260" s="169"/>
      <c r="P260" s="169">
        <v>90</v>
      </c>
      <c r="Q260" s="169"/>
      <c r="R260" s="169"/>
      <c r="S260" s="169"/>
      <c r="T260" s="169">
        <v>43</v>
      </c>
      <c r="U260" s="169"/>
      <c r="V260" s="169"/>
      <c r="W260" s="169"/>
      <c r="X260" s="169"/>
      <c r="Y260" s="169"/>
      <c r="Z260" s="169"/>
      <c r="AA260" s="169"/>
      <c r="AB260" s="169">
        <v>150</v>
      </c>
      <c r="AC260" s="169"/>
      <c r="AD260" s="169"/>
      <c r="AE260" s="263">
        <f>Loa*1.2</f>
        <v>25.5</v>
      </c>
      <c r="AF260" s="296"/>
      <c r="AG260" s="377"/>
      <c r="AH260" s="296"/>
      <c r="AI260" s="377"/>
      <c r="AJ260" s="296" t="s">
        <v>240</v>
      </c>
      <c r="AK260" s="47">
        <f>VLOOKUP(AJ260,Skrogform!$1:$1048576,3,FALSE)</f>
        <v>1</v>
      </c>
      <c r="AL260" s="57">
        <v>21.25</v>
      </c>
      <c r="AM260" s="57">
        <v>13.92</v>
      </c>
      <c r="AN260" s="57">
        <v>3.58</v>
      </c>
      <c r="AO260" s="57">
        <v>2.9</v>
      </c>
      <c r="AP260" s="57">
        <v>33</v>
      </c>
      <c r="AQ260" s="57"/>
      <c r="AR260" s="57"/>
      <c r="AS260" s="281"/>
      <c r="AT260" s="282">
        <f>AS260*7</f>
        <v>0</v>
      </c>
      <c r="AU260" s="281">
        <f>ROUND(Depl*10,-2)</f>
        <v>300</v>
      </c>
      <c r="AV260" s="281">
        <f>ROUND(Depl*10,-2)</f>
        <v>300</v>
      </c>
      <c r="AW260" s="270">
        <f>Depl+Diesel/1000+Vann/1000</f>
        <v>33.599999999999994</v>
      </c>
      <c r="AX260" s="281"/>
      <c r="AY260" s="98">
        <f>Bredde/(Loa+Lwl)*2</f>
        <v>0.2035825988058004</v>
      </c>
      <c r="AZ260" s="98">
        <f>(Kjøl+Ballast)/Depl</f>
        <v>0</v>
      </c>
      <c r="BA260" s="288">
        <f>BA$7*((Depl-Kjøl-Ballast-VektMotor/1000-VektAnnet/1000)/Loa/Lwl/Bredde)</f>
        <v>1.3483382559299451</v>
      </c>
      <c r="BB260" s="98">
        <f>BB$7*(Depl/Loa/Lwl/Lwl)</f>
        <v>0.60181733662549453</v>
      </c>
      <c r="BC260" s="178">
        <f>BC$7*(Depl/Loa/Lwl/Bredde)</f>
        <v>0.86495440499451581</v>
      </c>
      <c r="BD260" s="98">
        <f>BD$7*Bredde/(Loa+Lwl)*2</f>
        <v>0.58075767164708436</v>
      </c>
      <c r="BE260" s="98">
        <f>BE$7*(Dypg/Lwl)</f>
        <v>1.1394927536231882</v>
      </c>
      <c r="BF260" s="58" t="s">
        <v>24</v>
      </c>
      <c r="BG260" s="296"/>
      <c r="BH260" s="296"/>
      <c r="BI260" s="47">
        <f t="shared" si="1903"/>
        <v>1</v>
      </c>
      <c r="BJ260" s="61"/>
      <c r="BK260" s="61"/>
      <c r="BM260" s="214"/>
      <c r="BN260" s="214" t="str">
        <f>$A260</f>
        <v>VEMA III</v>
      </c>
      <c r="BO260" s="10"/>
      <c r="BP260" s="10"/>
      <c r="BQ260" s="10"/>
      <c r="BR260" s="10"/>
      <c r="BS260" s="52"/>
      <c r="BT260" s="214" t="str">
        <f>$A260</f>
        <v>VEMA III</v>
      </c>
      <c r="BU260" s="10"/>
      <c r="BV260" s="10"/>
      <c r="BW260" s="10"/>
      <c r="BX260" s="10"/>
      <c r="BY260" s="10"/>
      <c r="BZ260" s="10"/>
      <c r="CA260" s="10">
        <f>IF(AB260=0,0,AB260*CA$9)</f>
        <v>150</v>
      </c>
      <c r="CB260" s="10"/>
      <c r="CC260" s="10"/>
      <c r="CD260" s="214"/>
      <c r="CE260" s="10"/>
      <c r="CF260" s="214" t="str">
        <f>$A260</f>
        <v>VEMA III</v>
      </c>
      <c r="CG260" s="212"/>
      <c r="CH260" s="212"/>
      <c r="CI260" s="119"/>
      <c r="CJ260" s="212"/>
      <c r="CK260" s="208"/>
      <c r="CL260" s="208" t="s">
        <v>26</v>
      </c>
      <c r="CM260" s="110" t="str">
        <f t="shared" si="1772"/>
        <v>-</v>
      </c>
      <c r="CN260" s="64" t="str">
        <f>IF(SeilBeregnet=0,"-",(SeilBeregnet)^(1/2)*StHfaktor/(Depl+DeplTillegg/1000+Vann/1000+Diesel/1000*0.84)^(1/3))</f>
        <v>-</v>
      </c>
      <c r="CO260" s="64" t="str">
        <f t="shared" si="1759"/>
        <v>-</v>
      </c>
      <c r="CP260" s="64" t="str">
        <f t="shared" si="1760"/>
        <v>-</v>
      </c>
      <c r="CQ260" s="110" t="str">
        <f t="shared" si="1761"/>
        <v>-</v>
      </c>
      <c r="CR260" s="172" t="str">
        <f t="shared" si="2004"/>
        <v>-</v>
      </c>
      <c r="CS260" s="162"/>
      <c r="CT260" s="172" t="str">
        <f t="shared" si="2073"/>
        <v>-</v>
      </c>
      <c r="CU260" s="164">
        <v>1.52</v>
      </c>
      <c r="CV260" s="195" t="s">
        <v>145</v>
      </c>
      <c r="CW260" s="30" t="s">
        <v>26</v>
      </c>
      <c r="CX260" s="30" t="s">
        <v>26</v>
      </c>
      <c r="CY260" s="30" t="s">
        <v>26</v>
      </c>
      <c r="CZ260" s="153">
        <v>2022</v>
      </c>
      <c r="DA260" s="64" t="str">
        <f t="shared" si="1951"/>
        <v>-</v>
      </c>
      <c r="DB260" s="49">
        <f t="shared" si="1904"/>
        <v>15.675675675675677</v>
      </c>
      <c r="DC260" s="50">
        <f t="shared" si="1905"/>
        <v>0</v>
      </c>
      <c r="DE260" s="110" t="str">
        <f>IF(SeilBeregnet=0,"-",DE$7*(DG:DG+DE$6)*DL:DL*PropF+ErfaringsF+Dyp_F)</f>
        <v>-</v>
      </c>
      <c r="DF260" s="144" t="str">
        <f t="shared" si="1990"/>
        <v>-</v>
      </c>
      <c r="DG260" s="110">
        <f t="shared" si="1959"/>
        <v>6.4334079620224456</v>
      </c>
      <c r="DH260" s="136">
        <f>IF(SeilBeregnet=0,DH250,(SeilBeregnet^0.5/(Depl^0.3333))^DH$3*DH$7)</f>
        <v>4.336559328108117</v>
      </c>
      <c r="DI260" s="136">
        <f>IF(SeilBeregnet=0,DI250,(SeilBeregnet^0.5/Lwl)^DI$3*DI$7)</f>
        <v>0</v>
      </c>
      <c r="DJ260" s="136">
        <f>IF(SeilBeregnet=0,DJ250,(0.1*Loa/Depl^0.3333)^DJ$3*DJ$7)</f>
        <v>0</v>
      </c>
      <c r="DK260" s="136">
        <f>IF(SeilBeregnet=0,DK250,((Loa)/Bredde)^DK$3*DK$7)</f>
        <v>2.0968486339143286</v>
      </c>
      <c r="DL260" s="110">
        <f>IF(SeilBeregnet=0,DL250,(Lwl)^DL$3)</f>
        <v>1.7415941483654049</v>
      </c>
      <c r="DM260" s="136">
        <f>IF(SeilBeregnet=0,DM250,(Dypg/Loa)^DM$3*5*DM$7)</f>
        <v>2.0981073118415403</v>
      </c>
      <c r="DO260" s="110" t="str">
        <f t="shared" si="669"/>
        <v>-</v>
      </c>
      <c r="DP260" s="110" t="str">
        <f t="shared" si="1952"/>
        <v>-</v>
      </c>
      <c r="DR260" s="110" t="str">
        <f t="shared" si="1953"/>
        <v>-</v>
      </c>
      <c r="DS260" s="125" t="str">
        <f t="shared" si="1991"/>
        <v>-</v>
      </c>
      <c r="DT260" s="110" t="str">
        <f t="shared" si="1966"/>
        <v>-</v>
      </c>
      <c r="DU260" s="125" t="str">
        <f t="shared" si="1992"/>
        <v>-</v>
      </c>
      <c r="DV260" s="110">
        <f>IF(SeilBeregnet=0,DV250,SeilBeregnet^0.5/Depl^0.33333)</f>
        <v>4.3362473808751103</v>
      </c>
      <c r="DW260" s="110">
        <f>IF(SeilBeregnet=0,DW250,Lwl^0.3333)</f>
        <v>2.0952241096557445</v>
      </c>
      <c r="DX260" s="110">
        <f>IF(SeilBeregnet=0,DX250,((Loa+Lwl)/Bredde)^DX$3)</f>
        <v>1.6473506606766539</v>
      </c>
      <c r="DZ260" s="110" t="str">
        <f t="shared" si="1967"/>
        <v>-</v>
      </c>
      <c r="EB260" s="110">
        <f>IF(SeilBeregnet=0,EB250,SeilBeregnet^0.5/Depl^0.33333)</f>
        <v>4.3362473808751103</v>
      </c>
      <c r="EC260" s="110">
        <f>IF(SeilBeregnet=0,EC250,Lwl^EC$3)</f>
        <v>2.095363606158581</v>
      </c>
      <c r="ED260" s="110">
        <f>IF(SeilBeregnet=0,ED250,((Loa+Lwl)/Bredde)^ED$3)</f>
        <v>1.9454459426913298</v>
      </c>
      <c r="EE260" s="110" t="str">
        <f t="shared" si="1968"/>
        <v>-</v>
      </c>
      <c r="EG260" s="110">
        <f>IF(SeilBeregnet=0,EG250,(EH260*EI260)^EG$3)</f>
        <v>7.1433199877420233</v>
      </c>
      <c r="EH260" s="110">
        <f>IF(SeilBeregnet=0,EH250,SeilBeregnet^0.5/Depl^0.33333)</f>
        <v>4.3362473808751103</v>
      </c>
      <c r="EI260" s="110">
        <f>IF(SeilBeregnet=0,EI250,((Loa+Lwl)/Bredde)^EI$3)</f>
        <v>1.6473506606766539</v>
      </c>
      <c r="EJ260" s="110">
        <f>IF(SeilBeregnet=0,EJ250,Lwl^EJ$3)</f>
        <v>1.7415941483654049</v>
      </c>
      <c r="EK260" s="110" t="str">
        <f>IF(SeilBeregnet=0,"-",EK$7*(EK$4*EM:EM+EK$6)*EP:EP*PropF+ErfaringsF+Dyp_F)</f>
        <v>-</v>
      </c>
      <c r="EM260" s="110">
        <f>IF(SeilBeregnet=0,EM250,(EN:EN*EO:EO)^EM$3)</f>
        <v>2.1363929993314277</v>
      </c>
      <c r="EN260" s="110">
        <f>IF(SeilBeregnet=0,EN250,SeilBeregnet^0.5/Depl^0.33333)</f>
        <v>4.3362473808751103</v>
      </c>
      <c r="EO260" s="110">
        <f>IF(SeilBeregnet=0,EO250,((Loa+Lwl)/Bredde/6)^EO$3)</f>
        <v>1.0525633449148892</v>
      </c>
      <c r="EP260" s="110">
        <f>IF(SeilBeregnet=0,EP250,(Lwl*0.7+Loa*0.3)^EP$3)</f>
        <v>1.8013445147642846</v>
      </c>
      <c r="EQ260" s="110" t="str">
        <f>IF(SeilBeregnet=0,"-",EQ$7*(ES:ES+EQ$6)*EV:EV*PropF+ErfaringsF+Dyp_F)</f>
        <v>-</v>
      </c>
      <c r="ES260" s="110">
        <f>(ET:ET*EU:EU)^ES$3</f>
        <v>2.1364698434135092</v>
      </c>
      <c r="ET260" s="110">
        <f>IF(SeilBeregnet=0,ET250,SeilBeregnet^0.5/Depl^0.3333)</f>
        <v>4.336559328108117</v>
      </c>
      <c r="EU260" s="110">
        <f>IF(SeilBeregnet=0,EU250,((Loa+Lwl)/Bredde/6)^EU$3)</f>
        <v>1.0525633449148892</v>
      </c>
      <c r="EV260" s="110">
        <f>IF(SeilBeregnet=0,EV250,(Lwl*0.7+Loa*0.3)^EV$3)</f>
        <v>1.8013445147642846</v>
      </c>
      <c r="EW260" s="110" t="str">
        <f>IF(SeilBeregnet=0,"-",EW$7*(EY:EY+EW$6)*FB:FB*PropF+ErfaringsF+Dyp_F)</f>
        <v>-</v>
      </c>
      <c r="EX260" s="144" t="str">
        <f t="shared" si="1993"/>
        <v>-</v>
      </c>
      <c r="EY260" s="110">
        <f>(EZ:EZ*FA:FA)^EY$3</f>
        <v>4.8044289579645145</v>
      </c>
      <c r="EZ260" s="136">
        <f>IF(SeilBeregnet=0,EZ250,(SeilBeregnet^0.5/(Depl^0.3333))^EZ$3)</f>
        <v>4.336559328108117</v>
      </c>
      <c r="FA260" s="136">
        <f>IF(SeilBeregnet=0,FA250,((Loa+Lwl)/Bredde/6)^FA$3)</f>
        <v>1.1078895950584198</v>
      </c>
      <c r="FB260" s="110">
        <f>IF(SeilBeregnet=0,FB250,(Lwl*0.07+Loa*0.03)^FB$3)</f>
        <v>1.0129704615569142</v>
      </c>
      <c r="FC260" s="110" t="str">
        <f>IF(SeilBeregnet=0,"-",FC$7*(FE:FE+FC$6)*FI:FI*PropF+ErfaringsF+Dyp_F)</f>
        <v>-</v>
      </c>
      <c r="FD260" s="144" t="str">
        <f t="shared" si="1994"/>
        <v>-</v>
      </c>
      <c r="FE260" s="110">
        <f>(FF:FF+FG:FG+FH:FH)^FE$3+FE$7</f>
        <v>6.9816308708260273</v>
      </c>
      <c r="FF260" s="136">
        <f>IF(SeilBeregnet=0,FF250,(SeilBeregnet^0.5/(Depl^0.3333))^FF$3)</f>
        <v>4.336559328108117</v>
      </c>
      <c r="FG260" s="136">
        <f>IF(SeilBeregnet=0,FG250,(SeilBeregnet^0.5/Lwl*FG$7)^FG$3)</f>
        <v>1.0482229088035822</v>
      </c>
      <c r="FH260" s="136">
        <f>IF(SeilBeregnet=0,FH250,((Loa)/Bredde)^FH$3*FH$7)</f>
        <v>2.0968486339143286</v>
      </c>
      <c r="FI260" s="110">
        <f>IF(SeilBeregnet=0,FI250,(Lwl)^FI$3)</f>
        <v>1.7415941483654049</v>
      </c>
      <c r="FJ260" s="110" t="str">
        <f>IF(SeilBeregnet=0,"-",FJ$7*(FL:FL+FJ$6)*FO:FO*PropF+ErfaringsF+Dyp_F)</f>
        <v>-</v>
      </c>
      <c r="FK260" s="144" t="str">
        <f t="shared" si="1995"/>
        <v>-</v>
      </c>
      <c r="FL260" s="110">
        <f>(FM:FM*FN:FN)^FL$3</f>
        <v>9.0931085030319441</v>
      </c>
      <c r="FM260" s="136">
        <f>IF(SeilBeregnet=0,FM250,(SeilBeregnet^0.5/(Depl^0.3333))^FM$3)</f>
        <v>4.336559328108117</v>
      </c>
      <c r="FN260" s="136">
        <f>IF(SeilBeregnet=0,FN250,(Loa/Bredde)^FN$3)</f>
        <v>2.0968486339143286</v>
      </c>
      <c r="FO260" s="110">
        <f>IF(SeilBeregnet=0,FO250,Lwl^FO$3)</f>
        <v>1.7415941483654049</v>
      </c>
      <c r="FQ260" s="374">
        <v>1</v>
      </c>
      <c r="FR260" s="64" t="str">
        <f t="shared" si="1902"/>
        <v>-</v>
      </c>
      <c r="FS260" s="480"/>
      <c r="FT260" s="59"/>
      <c r="FU260" s="475"/>
      <c r="FV260" s="77"/>
      <c r="FW260" s="59"/>
      <c r="FX260" s="59"/>
      <c r="FY260" s="59"/>
      <c r="FZ260" s="59"/>
      <c r="GB260" s="59" t="s">
        <v>522</v>
      </c>
      <c r="GC260" s="475" t="s">
        <v>522</v>
      </c>
      <c r="GD260" s="60" t="s">
        <v>522</v>
      </c>
      <c r="GE260" s="60" t="s">
        <v>522</v>
      </c>
      <c r="GF260" s="60" t="s">
        <v>522</v>
      </c>
      <c r="GG260" s="60" t="s">
        <v>522</v>
      </c>
      <c r="GI260" s="59"/>
      <c r="GJ260" s="59"/>
      <c r="GK260" s="59"/>
      <c r="GL260" s="59"/>
      <c r="GM260" s="59"/>
      <c r="GN260" s="59"/>
      <c r="GO260" s="59"/>
      <c r="GP260" s="59"/>
    </row>
    <row r="261" spans="1:198" ht="15.6" x14ac:dyDescent="0.3">
      <c r="A261" s="62" t="s">
        <v>71</v>
      </c>
      <c r="B261" s="223"/>
      <c r="C261" s="63" t="str">
        <f>C260</f>
        <v>Bermuda</v>
      </c>
      <c r="D261" s="63"/>
      <c r="E261" s="63"/>
      <c r="F261" s="63"/>
      <c r="G261" s="56"/>
      <c r="H261" s="209">
        <f>TBFavrundet</f>
        <v>152</v>
      </c>
      <c r="I261" s="65">
        <f>COUNTA(O261:AD261)</f>
        <v>2</v>
      </c>
      <c r="J261" s="228">
        <f>SUM(O261:AD261)</f>
        <v>240</v>
      </c>
      <c r="K261" s="119">
        <f>Seilareal/Depl^0.667/K$7</f>
        <v>2.1304228169350092</v>
      </c>
      <c r="L261" s="119">
        <f>Seilareal/Lwl/Lwl/L$7</f>
        <v>1.8793589864901581</v>
      </c>
      <c r="M261" s="95">
        <f>RiggF</f>
        <v>1</v>
      </c>
      <c r="N261" s="265">
        <f>StHfaktor</f>
        <v>1.0786054693100116</v>
      </c>
      <c r="O261" s="147"/>
      <c r="P261" s="169">
        <v>90</v>
      </c>
      <c r="Q261" s="147"/>
      <c r="R261" s="147"/>
      <c r="S261" s="147"/>
      <c r="T261" s="147"/>
      <c r="U261" s="148"/>
      <c r="V261" s="148"/>
      <c r="W261" s="148"/>
      <c r="X261" s="148"/>
      <c r="Y261" s="147"/>
      <c r="Z261" s="147"/>
      <c r="AA261" s="147"/>
      <c r="AB261" s="169">
        <v>150</v>
      </c>
      <c r="AC261" s="147"/>
      <c r="AD261" s="148"/>
      <c r="AE261" s="260">
        <f t="shared" ref="AE261" si="2077">AE260</f>
        <v>25.5</v>
      </c>
      <c r="AF261" s="375">
        <f t="shared" ref="AF261:AH262" si="2078" xml:space="preserve"> AF260</f>
        <v>0</v>
      </c>
      <c r="AG261" s="377"/>
      <c r="AH261" s="375">
        <f t="shared" si="2078"/>
        <v>0</v>
      </c>
      <c r="AI261" s="377"/>
      <c r="AJ261" s="295" t="str">
        <f t="shared" ref="AJ261:AJ262" si="2079" xml:space="preserve"> AJ260</f>
        <v>Meter</v>
      </c>
      <c r="AK261" s="47">
        <f>VLOOKUP(AJ261,Skrogform!$1:$1048576,3,FALSE)</f>
        <v>1</v>
      </c>
      <c r="AL261" s="66">
        <f t="shared" ref="AL261:AT261" si="2080">AL260</f>
        <v>21.25</v>
      </c>
      <c r="AM261" s="66">
        <f t="shared" si="2080"/>
        <v>13.92</v>
      </c>
      <c r="AN261" s="66">
        <f t="shared" si="2080"/>
        <v>3.58</v>
      </c>
      <c r="AO261" s="66">
        <f t="shared" si="2080"/>
        <v>2.9</v>
      </c>
      <c r="AP261" s="66">
        <f t="shared" si="2080"/>
        <v>33</v>
      </c>
      <c r="AQ261" s="66">
        <f t="shared" si="2080"/>
        <v>0</v>
      </c>
      <c r="AR261" s="66">
        <f t="shared" si="2080"/>
        <v>0</v>
      </c>
      <c r="AS261" s="284">
        <f t="shared" si="2080"/>
        <v>0</v>
      </c>
      <c r="AT261" s="284">
        <f t="shared" si="2080"/>
        <v>0</v>
      </c>
      <c r="AU261" s="284">
        <f t="shared" ref="AU261:AV261" si="2081">AU260</f>
        <v>300</v>
      </c>
      <c r="AV261" s="284">
        <f t="shared" si="2081"/>
        <v>300</v>
      </c>
      <c r="AW261" s="284"/>
      <c r="AX261" s="284">
        <f>AX260</f>
        <v>0</v>
      </c>
      <c r="AY261" s="68"/>
      <c r="AZ261" s="68"/>
      <c r="BA261" s="289"/>
      <c r="BB261" s="68"/>
      <c r="BC261" s="179"/>
      <c r="BD261" s="68"/>
      <c r="BE261" s="68"/>
      <c r="BF261" s="67" t="str">
        <f t="shared" ref="BF261:BH261" si="2082" xml:space="preserve"> BF260</f>
        <v>Seilrett</v>
      </c>
      <c r="BG261" s="295">
        <f t="shared" si="2082"/>
        <v>0</v>
      </c>
      <c r="BH261" s="295">
        <f t="shared" si="2082"/>
        <v>0</v>
      </c>
      <c r="BI261" s="47">
        <f t="shared" si="1903"/>
        <v>1</v>
      </c>
      <c r="BJ261" s="61"/>
      <c r="BK261" s="61"/>
      <c r="BM261" s="51">
        <f t="shared" ref="BM261:BR262" si="2083">IF(O261=0,0,O261*BM$9)</f>
        <v>0</v>
      </c>
      <c r="BN261" s="51">
        <f t="shared" si="2083"/>
        <v>90</v>
      </c>
      <c r="BO261" s="51">
        <f t="shared" si="2083"/>
        <v>0</v>
      </c>
      <c r="BP261" s="51">
        <f t="shared" si="2083"/>
        <v>0</v>
      </c>
      <c r="BQ261" s="51">
        <f t="shared" si="2083"/>
        <v>0</v>
      </c>
      <c r="BR261" s="51">
        <f t="shared" si="2083"/>
        <v>0</v>
      </c>
      <c r="BS261" s="52">
        <f>IF(COUNT(P261:T261)&gt;1,MINA(P261:T261)*BS$9,0)</f>
        <v>0</v>
      </c>
      <c r="BT261" s="88">
        <f t="shared" ref="BT261:BZ262" si="2084">IF(U261=0,0,U261*BT$9)</f>
        <v>0</v>
      </c>
      <c r="BU261" s="88">
        <f t="shared" si="2084"/>
        <v>0</v>
      </c>
      <c r="BV261" s="88">
        <f t="shared" si="2084"/>
        <v>0</v>
      </c>
      <c r="BW261" s="88">
        <f t="shared" si="2084"/>
        <v>0</v>
      </c>
      <c r="BX261" s="88">
        <f t="shared" si="2084"/>
        <v>0</v>
      </c>
      <c r="BY261" s="88">
        <f t="shared" si="2084"/>
        <v>0</v>
      </c>
      <c r="BZ261" s="88">
        <f t="shared" si="2084"/>
        <v>0</v>
      </c>
      <c r="CA261" s="88">
        <f>IF(AB261=0,0,AB261*CA$9)</f>
        <v>150</v>
      </c>
      <c r="CB261" s="88">
        <f>IF(AC261=0,0,AC261*CB$9)</f>
        <v>0</v>
      </c>
      <c r="CC261" s="88">
        <f>IF(AD261=0,0,AD261*CC$9)</f>
        <v>0</v>
      </c>
      <c r="CD261" s="103">
        <f>SUM(BM261:CC261)</f>
        <v>240</v>
      </c>
      <c r="CE261" s="52"/>
      <c r="CF261" s="107">
        <f>J261</f>
        <v>240</v>
      </c>
      <c r="CG261" s="104">
        <f>CD261/CF261</f>
        <v>1</v>
      </c>
      <c r="CH261" s="53">
        <f>Seilareal/Lwl/Lwl</f>
        <v>1.2386048355132779</v>
      </c>
      <c r="CI261" s="119">
        <f>Seilareal/Depl^0.667/K$7</f>
        <v>2.1304228169350092</v>
      </c>
      <c r="CJ261" s="53">
        <f>Seilareal/Lwl/Lwl/SApRS1</f>
        <v>1.8793589864901581</v>
      </c>
      <c r="CK261" s="209"/>
      <c r="CL261" s="209">
        <f>(ROUND(TBF/CL$6,3)*CL$6)*CL$4</f>
        <v>152</v>
      </c>
      <c r="CM261" s="110">
        <f t="shared" si="1772"/>
        <v>1.5195600354301158</v>
      </c>
      <c r="CN261" s="64">
        <f>IF(SeilBeregnet=0,"-",(SeilBeregnet)^(1/2)*StHfaktor/(Depl+DeplTillegg/1000+Vann/1000+Diesel/1000*0.84)^(1/3))</f>
        <v>5.1705300703953458</v>
      </c>
      <c r="CO261" s="64">
        <f t="shared" si="1759"/>
        <v>2.2163057490302096</v>
      </c>
      <c r="CP261" s="64">
        <f t="shared" si="1760"/>
        <v>1.9315671412704052</v>
      </c>
      <c r="CQ261" s="110">
        <f t="shared" si="1761"/>
        <v>1.0786054693100116</v>
      </c>
      <c r="CR261" s="172" t="str">
        <f t="shared" si="2004"/>
        <v>-</v>
      </c>
      <c r="CS261" s="163">
        <f>CS260</f>
        <v>0</v>
      </c>
      <c r="CT261" s="172">
        <f t="shared" si="2073"/>
        <v>1.1733333333333336</v>
      </c>
      <c r="CU261" s="163">
        <f>CU260</f>
        <v>1.52</v>
      </c>
      <c r="CV261" s="195" t="s">
        <v>145</v>
      </c>
      <c r="CW261" s="64" t="s">
        <v>111</v>
      </c>
      <c r="CX261" s="64" t="s">
        <v>111</v>
      </c>
      <c r="CY261" s="64" t="s">
        <v>111</v>
      </c>
      <c r="CZ261" s="154" t="s">
        <v>111</v>
      </c>
      <c r="DA261" s="64">
        <f t="shared" si="1951"/>
        <v>2.143036243796935</v>
      </c>
      <c r="DB261" s="49">
        <f t="shared" si="1904"/>
        <v>15.675675675675677</v>
      </c>
      <c r="DC261" s="50">
        <f t="shared" si="1905"/>
        <v>0</v>
      </c>
      <c r="DE261" s="110">
        <f>IF(SeilBeregnet=0,"-",DE$7*(DG:DG+DE$6)*DL:DL*PropF+ErfaringsF+Dyp_F)</f>
        <v>1.4176598495566206</v>
      </c>
      <c r="DF261" s="144" t="str">
        <f t="shared" si="1990"/>
        <v>-</v>
      </c>
      <c r="DG261" s="110">
        <f t="shared" si="1959"/>
        <v>7.266760670298126</v>
      </c>
      <c r="DH261" s="136">
        <f>IF(SeilBeregnet=0,DH260,(SeilBeregnet^0.5/(Depl^0.3333))^DH$3*DH$7)</f>
        <v>4.830420343097483</v>
      </c>
      <c r="DI261" s="136">
        <f>IF(SeilBeregnet=0,DI260,(SeilBeregnet^0.5/Lwl)^DI$3*DI$7)</f>
        <v>0</v>
      </c>
      <c r="DJ261" s="136">
        <f>IF(SeilBeregnet=0,DJ260,(0.1*Loa/Depl^0.3333)^DJ$3*DJ$7)</f>
        <v>0</v>
      </c>
      <c r="DK261" s="136">
        <f>IF(SeilBeregnet=0,DK260,((Loa)/Bredde)^DK$3*DK$7)</f>
        <v>2.4363403272006425</v>
      </c>
      <c r="DL261" s="110">
        <f t="shared" ref="DL261:DL265" si="2085">IF(SeilBeregnet=0,DL260,(Lwl)^DL$3)</f>
        <v>1.9315671412704052</v>
      </c>
      <c r="DM261" s="136">
        <f>IF(SeilBeregnet=0,DM260,(Dypg/Loa)^DM$3*5*DM$7)</f>
        <v>1.8470962903655979</v>
      </c>
      <c r="DO261" s="110">
        <f t="shared" si="669"/>
        <v>1.5195600354301158</v>
      </c>
      <c r="DP261" s="110">
        <f t="shared" si="1952"/>
        <v>1.5162381543814649</v>
      </c>
      <c r="DR261" s="110">
        <f t="shared" si="1953"/>
        <v>1.4957410442429326</v>
      </c>
      <c r="DS261" s="125" t="str">
        <f t="shared" si="1991"/>
        <v>-</v>
      </c>
      <c r="DT261" s="110">
        <f t="shared" si="1966"/>
        <v>1.5145152065747536</v>
      </c>
      <c r="DU261" s="125" t="str">
        <f t="shared" si="1992"/>
        <v>-</v>
      </c>
      <c r="DV261" s="110">
        <f t="shared" si="1687"/>
        <v>4.8299136816334904</v>
      </c>
      <c r="DW261" s="110">
        <f t="shared" si="1688"/>
        <v>2.4053316014652082</v>
      </c>
      <c r="DX261" s="110">
        <f t="shared" si="2005"/>
        <v>1.7704038094864074</v>
      </c>
      <c r="DZ261" s="110">
        <f t="shared" si="1967"/>
        <v>1.5036196948157612</v>
      </c>
      <c r="EB261" s="110">
        <f t="shared" si="1690"/>
        <v>4.8299136816334904</v>
      </c>
      <c r="EC261" s="110">
        <f t="shared" si="2006"/>
        <v>2.4055216296858064</v>
      </c>
      <c r="ED261" s="110">
        <f t="shared" si="2007"/>
        <v>2.1415589697189774</v>
      </c>
      <c r="EE261" s="110">
        <f t="shared" si="1968"/>
        <v>1.4672105364551975</v>
      </c>
      <c r="EG261" s="110">
        <f t="shared" si="2008"/>
        <v>8.5508975814544499</v>
      </c>
      <c r="EH261" s="110">
        <f t="shared" si="1694"/>
        <v>4.8299136816334904</v>
      </c>
      <c r="EI261" s="110">
        <f t="shared" si="2009"/>
        <v>1.7704038094864074</v>
      </c>
      <c r="EJ261" s="110">
        <f t="shared" si="2010"/>
        <v>1.9315671412704052</v>
      </c>
      <c r="EK261" s="110">
        <f>IF(SeilBeregnet=0,"-",EK$7*(EK$4*EM:EM+EK$6)*EP:EP*PropF+ErfaringsF+Dyp_F)</f>
        <v>1.4294520655443421</v>
      </c>
      <c r="EM261" s="110">
        <f>IF(SeilBeregnet=0,EM260,(EN:EN*EO:EO)^EM$3)</f>
        <v>2.3374210242886178</v>
      </c>
      <c r="EN261" s="110">
        <f t="shared" si="1697"/>
        <v>4.8299136816334904</v>
      </c>
      <c r="EO261" s="110">
        <f t="shared" si="2011"/>
        <v>1.1311873058026716</v>
      </c>
      <c r="EP261" s="110">
        <f t="shared" si="2012"/>
        <v>2.0037084229436135</v>
      </c>
      <c r="EQ261" s="110">
        <f>IF(SeilBeregnet=0,"-",EQ$7*(ES:ES+EQ$6)*EV:EV*PropF+ErfaringsF+Dyp_F)</f>
        <v>1.2816581699470659</v>
      </c>
      <c r="ES261" s="110">
        <f>(ET:ET*EU:EU)^ES$3</f>
        <v>2.3375436196577932</v>
      </c>
      <c r="ET261" s="110">
        <f t="shared" si="1700"/>
        <v>4.830420343097483</v>
      </c>
      <c r="EU261" s="110">
        <f t="shared" si="2013"/>
        <v>1.1311873058026716</v>
      </c>
      <c r="EV261" s="110">
        <f t="shared" si="2014"/>
        <v>2.0037084229436135</v>
      </c>
      <c r="EW261" s="110">
        <f>IF(SeilBeregnet=0,"-",EW$7*(EY:EY+EW$6)*FB:FB*PropF+ErfaringsF+Dyp_F)</f>
        <v>1.5762802007897481</v>
      </c>
      <c r="EX261" s="144" t="str">
        <f t="shared" si="1993"/>
        <v>-</v>
      </c>
      <c r="EY261" s="110">
        <f>(EZ:EZ*FA:FA)^EY$3</f>
        <v>6.180932066113022</v>
      </c>
      <c r="EZ261" s="136">
        <f t="shared" si="2015"/>
        <v>4.830420343097483</v>
      </c>
      <c r="FA261" s="136">
        <f t="shared" si="2016"/>
        <v>1.2795847208091067</v>
      </c>
      <c r="FB261" s="110">
        <f t="shared" si="2017"/>
        <v>1.126768049853176</v>
      </c>
      <c r="FC261" s="110">
        <f>IF(SeilBeregnet=0,"-",FC$7*(FE:FE+FC$6)*FI:FI*PropF+ErfaringsF+Dyp_F)</f>
        <v>1.4611338563175349</v>
      </c>
      <c r="FD261" s="144" t="str">
        <f t="shared" si="1994"/>
        <v>-</v>
      </c>
      <c r="FE261" s="110">
        <f>(FF:FF+FG:FG+FH:FH)^FE$3+FE$7</f>
        <v>7.8796869192083037</v>
      </c>
      <c r="FF261" s="136">
        <f t="shared" si="2018"/>
        <v>4.830420343097483</v>
      </c>
      <c r="FG261" s="136">
        <f>IF(SeilBeregnet=0,FG260,(SeilBeregnet^0.5/Lwl*FG$7)^FG$3)</f>
        <v>1.1129262489101772</v>
      </c>
      <c r="FH261" s="136">
        <f>IF(SeilBeregnet=0,FH260,((Loa)/Bredde)^FH$3*FH$7)</f>
        <v>2.4363403272006425</v>
      </c>
      <c r="FI261" s="110">
        <f t="shared" si="2019"/>
        <v>1.9315671412704052</v>
      </c>
      <c r="FJ261" s="110">
        <f>IF(SeilBeregnet=0,"-",FJ$7*(FL:FL+FJ$6)*FO:FO*PropF+ErfaringsF+Dyp_F)</f>
        <v>1.5838164653505007</v>
      </c>
      <c r="FK261" s="144" t="str">
        <f t="shared" si="1995"/>
        <v>-</v>
      </c>
      <c r="FL261" s="110">
        <f>(FM:FM*FN:FN)^FL$3</f>
        <v>11.768547879218762</v>
      </c>
      <c r="FM261" s="136">
        <f t="shared" si="2020"/>
        <v>4.830420343097483</v>
      </c>
      <c r="FN261" s="136">
        <f t="shared" si="2021"/>
        <v>2.4363403272006425</v>
      </c>
      <c r="FO261" s="110">
        <f t="shared" si="2022"/>
        <v>1.9315671412704052</v>
      </c>
      <c r="FQ261" s="374">
        <v>1</v>
      </c>
      <c r="FR261" s="64">
        <f t="shared" si="1902"/>
        <v>1.6464159979572068</v>
      </c>
      <c r="FS261" s="479"/>
      <c r="FT261" s="18"/>
      <c r="FU261" s="481"/>
      <c r="FV261" s="504"/>
      <c r="FW261" s="18"/>
      <c r="FX261" s="18"/>
      <c r="FY261" s="18"/>
      <c r="FZ261" s="18"/>
      <c r="GB261" s="18"/>
      <c r="GC261" s="481"/>
      <c r="GD261" s="8"/>
      <c r="GE261" s="8"/>
      <c r="GF261" s="8"/>
      <c r="GG261" s="8"/>
      <c r="GI261" s="18"/>
      <c r="GJ261" s="18"/>
      <c r="GK261" s="18"/>
      <c r="GL261" s="18"/>
      <c r="GM261" s="18"/>
      <c r="GN261" s="18"/>
      <c r="GO261" s="18"/>
      <c r="GP261" s="18"/>
    </row>
    <row r="262" spans="1:198" ht="15.6" x14ac:dyDescent="0.3">
      <c r="A262" s="62" t="s">
        <v>256</v>
      </c>
      <c r="B262" s="223"/>
      <c r="C262" s="63" t="str">
        <f t="shared" ref="C262" si="2086">C261</f>
        <v>Bermuda</v>
      </c>
      <c r="D262" s="63"/>
      <c r="E262" s="63"/>
      <c r="F262" s="63"/>
      <c r="G262" s="56"/>
      <c r="H262" s="209">
        <f>TBFavrundet</f>
        <v>138.50000000000003</v>
      </c>
      <c r="I262" s="65">
        <f>COUNTA(O262:AD262)</f>
        <v>2</v>
      </c>
      <c r="J262" s="228">
        <f>SUM(O262:AD262)</f>
        <v>183</v>
      </c>
      <c r="K262" s="119">
        <f>Seilareal/Depl^0.667/K$7</f>
        <v>1.6244473979129448</v>
      </c>
      <c r="L262" s="119">
        <f>Seilareal/Lwl/Lwl/L$7</f>
        <v>1.4330112271987454</v>
      </c>
      <c r="M262" s="95">
        <f>RiggF</f>
        <v>1</v>
      </c>
      <c r="N262" s="265">
        <f>StHfaktor</f>
        <v>1.0786054693100116</v>
      </c>
      <c r="O262" s="147"/>
      <c r="P262" s="147"/>
      <c r="Q262" s="147"/>
      <c r="R262" s="147"/>
      <c r="S262" s="147"/>
      <c r="T262" s="169">
        <v>43</v>
      </c>
      <c r="U262" s="148"/>
      <c r="V262" s="148"/>
      <c r="W262" s="148"/>
      <c r="X262" s="148"/>
      <c r="Y262" s="147"/>
      <c r="Z262" s="147"/>
      <c r="AA262" s="147"/>
      <c r="AB262" s="169">
        <v>140</v>
      </c>
      <c r="AC262" s="147"/>
      <c r="AD262" s="148"/>
      <c r="AE262" s="260">
        <f t="shared" ref="AE262" si="2087">AE261</f>
        <v>25.5</v>
      </c>
      <c r="AF262" s="375">
        <f t="shared" si="2078"/>
        <v>0</v>
      </c>
      <c r="AG262" s="377"/>
      <c r="AH262" s="375">
        <f t="shared" si="2078"/>
        <v>0</v>
      </c>
      <c r="AI262" s="377"/>
      <c r="AJ262" s="295" t="str">
        <f t="shared" si="2079"/>
        <v>Meter</v>
      </c>
      <c r="AK262" s="47">
        <f>VLOOKUP(AJ262,Skrogform!$1:$1048576,3,FALSE)</f>
        <v>1</v>
      </c>
      <c r="AL262" s="66">
        <f t="shared" ref="AL262:AT262" si="2088">AL261</f>
        <v>21.25</v>
      </c>
      <c r="AM262" s="66">
        <f t="shared" si="2088"/>
        <v>13.92</v>
      </c>
      <c r="AN262" s="66">
        <f t="shared" si="2088"/>
        <v>3.58</v>
      </c>
      <c r="AO262" s="66">
        <f t="shared" si="2088"/>
        <v>2.9</v>
      </c>
      <c r="AP262" s="66">
        <f t="shared" si="2088"/>
        <v>33</v>
      </c>
      <c r="AQ262" s="66">
        <f t="shared" si="2088"/>
        <v>0</v>
      </c>
      <c r="AR262" s="66">
        <f t="shared" si="2088"/>
        <v>0</v>
      </c>
      <c r="AS262" s="284">
        <f t="shared" si="2088"/>
        <v>0</v>
      </c>
      <c r="AT262" s="284">
        <f t="shared" si="2088"/>
        <v>0</v>
      </c>
      <c r="AU262" s="284">
        <f t="shared" ref="AU262:AV262" si="2089">AU261</f>
        <v>300</v>
      </c>
      <c r="AV262" s="284">
        <f t="shared" si="2089"/>
        <v>300</v>
      </c>
      <c r="AW262" s="284"/>
      <c r="AX262" s="284">
        <f>AX261</f>
        <v>0</v>
      </c>
      <c r="AY262" s="68"/>
      <c r="AZ262" s="68"/>
      <c r="BA262" s="289"/>
      <c r="BB262" s="68"/>
      <c r="BC262" s="179"/>
      <c r="BD262" s="68"/>
      <c r="BE262" s="68"/>
      <c r="BF262" s="67" t="str">
        <f t="shared" ref="BF262:BH262" si="2090" xml:space="preserve"> BF261</f>
        <v>Seilrett</v>
      </c>
      <c r="BG262" s="295">
        <f t="shared" si="2090"/>
        <v>0</v>
      </c>
      <c r="BH262" s="295">
        <f t="shared" si="2090"/>
        <v>0</v>
      </c>
      <c r="BI262" s="47">
        <f t="shared" si="1903"/>
        <v>1</v>
      </c>
      <c r="BJ262" s="61"/>
      <c r="BK262" s="61"/>
      <c r="BM262" s="51">
        <f t="shared" si="2083"/>
        <v>0</v>
      </c>
      <c r="BN262" s="51">
        <f t="shared" si="2083"/>
        <v>0</v>
      </c>
      <c r="BO262" s="51">
        <f t="shared" si="2083"/>
        <v>0</v>
      </c>
      <c r="BP262" s="51">
        <f t="shared" si="2083"/>
        <v>0</v>
      </c>
      <c r="BQ262" s="51">
        <f t="shared" si="2083"/>
        <v>0</v>
      </c>
      <c r="BR262" s="51">
        <f t="shared" si="2083"/>
        <v>43</v>
      </c>
      <c r="BS262" s="52">
        <f>IF(COUNT(P262:T262)&gt;1,MINA(P262:T262)*BS$9,0)</f>
        <v>0</v>
      </c>
      <c r="BT262" s="88">
        <f t="shared" si="2084"/>
        <v>0</v>
      </c>
      <c r="BU262" s="88">
        <f t="shared" si="2084"/>
        <v>0</v>
      </c>
      <c r="BV262" s="88">
        <f t="shared" si="2084"/>
        <v>0</v>
      </c>
      <c r="BW262" s="88">
        <f t="shared" si="2084"/>
        <v>0</v>
      </c>
      <c r="BX262" s="88">
        <f t="shared" si="2084"/>
        <v>0</v>
      </c>
      <c r="BY262" s="88">
        <f t="shared" si="2084"/>
        <v>0</v>
      </c>
      <c r="BZ262" s="88">
        <f t="shared" si="2084"/>
        <v>0</v>
      </c>
      <c r="CA262" s="88">
        <f>IF(AB262=0,0,AB262*CA$9)</f>
        <v>140</v>
      </c>
      <c r="CB262" s="88">
        <f>IF(AC262=0,0,AC262*CB$9)</f>
        <v>0</v>
      </c>
      <c r="CC262" s="88">
        <f>IF(AD262=0,0,AD262*CC$9)</f>
        <v>0</v>
      </c>
      <c r="CD262" s="103">
        <f>SUM(BM262:CC262)</f>
        <v>183</v>
      </c>
      <c r="CE262" s="52"/>
      <c r="CF262" s="107">
        <f>J262</f>
        <v>183</v>
      </c>
      <c r="CG262" s="104">
        <f>CD262/CF262</f>
        <v>1</v>
      </c>
      <c r="CH262" s="53">
        <f>Seilareal/Lwl/Lwl</f>
        <v>0.94443618707887433</v>
      </c>
      <c r="CI262" s="119">
        <f>Seilareal/Depl^0.667/K$7</f>
        <v>1.6244473979129448</v>
      </c>
      <c r="CJ262" s="53">
        <f>Seilareal/Lwl/Lwl/SApRS1</f>
        <v>1.4330112271987454</v>
      </c>
      <c r="CK262" s="209"/>
      <c r="CL262" s="209">
        <f>(ROUND(TBF/CL$6,3)*CL$6)*CL$4</f>
        <v>138.50000000000003</v>
      </c>
      <c r="CM262" s="110">
        <f t="shared" si="1772"/>
        <v>1.3847037910242237</v>
      </c>
      <c r="CN262" s="64">
        <f>IF(SeilBeregnet=0,"-",(SeilBeregnet)^(1/2)*StHfaktor/(Depl+DeplTillegg/1000+Vann/1000+Diesel/1000*0.84)^(1/3))</f>
        <v>4.5149712813879184</v>
      </c>
      <c r="CO262" s="64">
        <f t="shared" si="1759"/>
        <v>2.2163057490302096</v>
      </c>
      <c r="CP262" s="64">
        <f t="shared" si="1760"/>
        <v>1.9315671412704052</v>
      </c>
      <c r="CQ262" s="110">
        <f t="shared" si="1761"/>
        <v>1.0786054693100116</v>
      </c>
      <c r="CR262" s="172" t="str">
        <f t="shared" si="2004"/>
        <v>-</v>
      </c>
      <c r="CS262" s="162"/>
      <c r="CT262" s="172" t="str">
        <f t="shared" si="2073"/>
        <v>-</v>
      </c>
      <c r="CU262" s="164"/>
      <c r="CV262" s="195" t="s">
        <v>145</v>
      </c>
      <c r="CW262" s="64" t="s">
        <v>111</v>
      </c>
      <c r="CX262" s="64" t="s">
        <v>111</v>
      </c>
      <c r="CY262" s="64" t="s">
        <v>111</v>
      </c>
      <c r="CZ262" s="154" t="s">
        <v>111</v>
      </c>
      <c r="DA262" s="64">
        <f t="shared" si="1951"/>
        <v>2.143036243796935</v>
      </c>
      <c r="DB262" s="49">
        <f t="shared" si="1904"/>
        <v>15.675675675675677</v>
      </c>
      <c r="DC262" s="50">
        <f t="shared" si="1905"/>
        <v>0</v>
      </c>
      <c r="DE262" s="110">
        <f>IF(SeilBeregnet=0,"-",DE$7*(DG:DG+DE$6)*DL:DL*PropF+ErfaringsF+Dyp_F)</f>
        <v>1.2981805457389761</v>
      </c>
      <c r="DF262" s="144" t="str">
        <f t="shared" si="1990"/>
        <v>-</v>
      </c>
      <c r="DG262" s="110">
        <f t="shared" si="1959"/>
        <v>6.654323557003142</v>
      </c>
      <c r="DH262" s="136">
        <f>IF(SeilBeregnet=0,DH261,(SeilBeregnet^0.5/(Depl^0.3333))^DH$3*DH$7)</f>
        <v>4.2179832298025</v>
      </c>
      <c r="DI262" s="136">
        <f>IF(SeilBeregnet=0,DI261,(SeilBeregnet^0.5/Lwl)^DI$3*DI$7)</f>
        <v>0</v>
      </c>
      <c r="DJ262" s="136">
        <f>IF(SeilBeregnet=0,DJ261,(0.1*Loa/Depl^0.3333)^DJ$3*DJ$7)</f>
        <v>0</v>
      </c>
      <c r="DK262" s="136">
        <f>IF(SeilBeregnet=0,DK261,((Loa)/Bredde)^DK$3*DK$7)</f>
        <v>2.4363403272006425</v>
      </c>
      <c r="DL262" s="110">
        <f t="shared" si="2085"/>
        <v>1.9315671412704052</v>
      </c>
      <c r="DM262" s="136">
        <f>IF(SeilBeregnet=0,DM261,(Dypg/Loa)^DM$3*5*DM$7)</f>
        <v>1.8470962903655979</v>
      </c>
      <c r="DO262" s="110">
        <f t="shared" si="669"/>
        <v>1.3847037910242239</v>
      </c>
      <c r="DP262" s="110">
        <f t="shared" si="1952"/>
        <v>1.3490147102765517</v>
      </c>
      <c r="DR262" s="110">
        <f t="shared" si="1953"/>
        <v>1.3486910935823162</v>
      </c>
      <c r="DS262" s="125" t="str">
        <f t="shared" si="1991"/>
        <v>-</v>
      </c>
      <c r="DT262" s="110">
        <f t="shared" si="1966"/>
        <v>1.3510968792038665</v>
      </c>
      <c r="DU262" s="125" t="str">
        <f t="shared" si="1992"/>
        <v>-</v>
      </c>
      <c r="DV262" s="110">
        <f t="shared" si="1687"/>
        <v>4.2175408066992262</v>
      </c>
      <c r="DW262" s="110">
        <f t="shared" si="1688"/>
        <v>2.4053316014652082</v>
      </c>
      <c r="DX262" s="110">
        <f t="shared" si="2005"/>
        <v>1.7704038094864074</v>
      </c>
      <c r="DZ262" s="110">
        <f t="shared" si="1967"/>
        <v>1.3500190057299746</v>
      </c>
      <c r="EB262" s="110">
        <f t="shared" si="1690"/>
        <v>4.2175408066992262</v>
      </c>
      <c r="EC262" s="110">
        <f t="shared" si="2006"/>
        <v>2.4055216296858064</v>
      </c>
      <c r="ED262" s="110">
        <f t="shared" si="2007"/>
        <v>2.1415589697189774</v>
      </c>
      <c r="EE262" s="110">
        <f t="shared" si="1968"/>
        <v>1.3164487376387868</v>
      </c>
      <c r="EG262" s="110">
        <f t="shared" si="2008"/>
        <v>7.4667503108446862</v>
      </c>
      <c r="EH262" s="110">
        <f t="shared" si="1694"/>
        <v>4.2175408066992262</v>
      </c>
      <c r="EI262" s="110">
        <f t="shared" si="2009"/>
        <v>1.7704038094864074</v>
      </c>
      <c r="EJ262" s="110">
        <f t="shared" si="2010"/>
        <v>1.9315671412704052</v>
      </c>
      <c r="EK262" s="110">
        <f>IF(SeilBeregnet=0,"-",EK$7*(EK$4*EM:EM+EK$6)*EP:EP*PropF+ErfaringsF+Dyp_F)</f>
        <v>1.3102688639758815</v>
      </c>
      <c r="EM262" s="110">
        <f>IF(SeilBeregnet=0,EM261,(EN:EN*EO:EO)^EM$3)</f>
        <v>2.1842226585773998</v>
      </c>
      <c r="EN262" s="110">
        <f t="shared" si="1697"/>
        <v>4.2175408066992262</v>
      </c>
      <c r="EO262" s="110">
        <f t="shared" si="2011"/>
        <v>1.1311873058026716</v>
      </c>
      <c r="EP262" s="110">
        <f t="shared" si="2012"/>
        <v>2.0037084229436135</v>
      </c>
      <c r="EQ262" s="110">
        <f>IF(SeilBeregnet=0,"-",EQ$7*(ES:ES+EQ$6)*EV:EV*PropF+ErfaringsF+Dyp_F)</f>
        <v>1.197656214374651</v>
      </c>
      <c r="ES262" s="110">
        <f>(ET:ET*EU:EU)^ES$3</f>
        <v>2.1843372188472046</v>
      </c>
      <c r="ET262" s="110">
        <f t="shared" si="1700"/>
        <v>4.2179832298025</v>
      </c>
      <c r="EU262" s="110">
        <f t="shared" si="2013"/>
        <v>1.1311873058026716</v>
      </c>
      <c r="EV262" s="110">
        <f t="shared" si="2014"/>
        <v>2.0037084229436135</v>
      </c>
      <c r="EW262" s="110">
        <f>IF(SeilBeregnet=0,"-",EW$7*(EY:EY+EW$6)*FB:FB*PropF+ErfaringsF+Dyp_F)</f>
        <v>1.42528568260033</v>
      </c>
      <c r="EX262" s="144" t="str">
        <f t="shared" si="1993"/>
        <v>-</v>
      </c>
      <c r="EY262" s="110">
        <f>(EZ:EZ*FA:FA)^EY$3</f>
        <v>5.3972668934843258</v>
      </c>
      <c r="EZ262" s="136">
        <f t="shared" si="2015"/>
        <v>4.2179832298025</v>
      </c>
      <c r="FA262" s="136">
        <f t="shared" si="2016"/>
        <v>1.2795847208091067</v>
      </c>
      <c r="FB262" s="110">
        <f t="shared" si="2017"/>
        <v>1.126768049853176</v>
      </c>
      <c r="FC262" s="110">
        <f>IF(SeilBeregnet=0,"-",FC$7*(FE:FE+FC$6)*FI:FI*PropF+ErfaringsF+Dyp_F)</f>
        <v>1.3214041728455055</v>
      </c>
      <c r="FD262" s="144" t="str">
        <f t="shared" si="1994"/>
        <v>-</v>
      </c>
      <c r="FE262" s="110">
        <f>(FF:FF+FG:FG+FH:FH)^FE$3+FE$7</f>
        <v>7.1261446244218689</v>
      </c>
      <c r="FF262" s="136">
        <f t="shared" si="2018"/>
        <v>4.2179832298025</v>
      </c>
      <c r="FG262" s="136">
        <f>IF(SeilBeregnet=0,FG261,(SeilBeregnet^0.5/Lwl*FG$7)^FG$3)</f>
        <v>0.9718210674187272</v>
      </c>
      <c r="FH262" s="136">
        <f>IF(SeilBeregnet=0,FH261,((Loa)/Bredde)^FH$3*FH$7)</f>
        <v>2.4363403272006425</v>
      </c>
      <c r="FI262" s="110">
        <f t="shared" si="2019"/>
        <v>1.9315671412704052</v>
      </c>
      <c r="FJ262" s="110">
        <f>IF(SeilBeregnet=0,"-",FJ$7*(FL:FL+FJ$6)*FO:FO*PropF+ErfaringsF+Dyp_F)</f>
        <v>1.4339471901014635</v>
      </c>
      <c r="FK262" s="144" t="str">
        <f t="shared" si="1995"/>
        <v>-</v>
      </c>
      <c r="FL262" s="110">
        <f>(FM:FM*FN:FN)^FL$3</f>
        <v>10.276442642223845</v>
      </c>
      <c r="FM262" s="136">
        <f t="shared" si="2020"/>
        <v>4.2179832298025</v>
      </c>
      <c r="FN262" s="136">
        <f t="shared" si="2021"/>
        <v>2.4363403272006425</v>
      </c>
      <c r="FO262" s="110">
        <f t="shared" si="2022"/>
        <v>1.9315671412704052</v>
      </c>
      <c r="FQ262" s="374">
        <v>1</v>
      </c>
      <c r="FR262" s="64">
        <f t="shared" si="1902"/>
        <v>1.5357854458767093</v>
      </c>
      <c r="FS262" s="479"/>
      <c r="FT262" s="18"/>
      <c r="FU262" s="481"/>
      <c r="FV262" s="504"/>
      <c r="FW262" s="18"/>
      <c r="FX262" s="18"/>
      <c r="FY262" s="18"/>
      <c r="FZ262" s="18"/>
      <c r="GB262" s="18"/>
      <c r="GC262" s="481"/>
      <c r="GD262" s="8"/>
      <c r="GE262" s="8"/>
      <c r="GF262" s="8"/>
      <c r="GG262" s="8"/>
      <c r="GI262" s="18"/>
      <c r="GJ262" s="18"/>
      <c r="GK262" s="18"/>
      <c r="GL262" s="18"/>
      <c r="GM262" s="18"/>
      <c r="GN262" s="18"/>
      <c r="GO262" s="18"/>
      <c r="GP262" s="18"/>
    </row>
    <row r="263" spans="1:198" ht="15.6" x14ac:dyDescent="0.3">
      <c r="A263" s="54" t="s">
        <v>87</v>
      </c>
      <c r="B263" s="223">
        <f t="shared" ref="B263" si="2091">Loa/0.3048</f>
        <v>67.257217847769027</v>
      </c>
      <c r="C263" s="55" t="s">
        <v>41</v>
      </c>
      <c r="D263" s="55"/>
      <c r="E263" s="55"/>
      <c r="F263" s="55"/>
      <c r="G263" s="56"/>
      <c r="H263" s="209"/>
      <c r="I263" s="126" t="str">
        <f>A263</f>
        <v>FLICA II</v>
      </c>
      <c r="J263" s="229"/>
      <c r="K263" s="119"/>
      <c r="L263" s="119"/>
      <c r="M263" s="95"/>
      <c r="N263" s="265"/>
      <c r="O263" s="169"/>
      <c r="P263" s="169">
        <v>82</v>
      </c>
      <c r="Q263" s="169"/>
      <c r="R263" s="169"/>
      <c r="S263" s="169"/>
      <c r="T263" s="169">
        <v>72</v>
      </c>
      <c r="U263" s="169"/>
      <c r="V263" s="169"/>
      <c r="W263" s="169"/>
      <c r="X263" s="169"/>
      <c r="Y263" s="169"/>
      <c r="Z263" s="169"/>
      <c r="AA263" s="169"/>
      <c r="AB263" s="169">
        <v>135</v>
      </c>
      <c r="AC263" s="169"/>
      <c r="AD263" s="169"/>
      <c r="AE263" s="263">
        <f>Loa*1.2</f>
        <v>24.599999999999998</v>
      </c>
      <c r="AF263" s="296"/>
      <c r="AG263" s="377"/>
      <c r="AH263" s="296"/>
      <c r="AI263" s="377"/>
      <c r="AJ263" s="296" t="s">
        <v>240</v>
      </c>
      <c r="AK263" s="47">
        <f>VLOOKUP(AJ263,Skrogform!$1:$1048576,3,FALSE)</f>
        <v>1</v>
      </c>
      <c r="AL263" s="57">
        <v>20.5</v>
      </c>
      <c r="AM263" s="57">
        <v>14</v>
      </c>
      <c r="AN263" s="57">
        <v>3.1</v>
      </c>
      <c r="AO263" s="57">
        <v>2.7</v>
      </c>
      <c r="AP263" s="57">
        <v>30</v>
      </c>
      <c r="AQ263" s="57">
        <v>15</v>
      </c>
      <c r="AR263" s="57"/>
      <c r="AS263" s="281"/>
      <c r="AT263" s="282">
        <f>AS263*7</f>
        <v>0</v>
      </c>
      <c r="AU263" s="281">
        <f>ROUND(Depl*10,-2)</f>
        <v>300</v>
      </c>
      <c r="AV263" s="281">
        <f>ROUND(Depl*10,-2)</f>
        <v>300</v>
      </c>
      <c r="AW263" s="270">
        <f>Depl+Diesel/1000+Vann/1000</f>
        <v>30.6</v>
      </c>
      <c r="AX263" s="281"/>
      <c r="AY263" s="98">
        <f>Bredde/(Loa+Lwl)*2</f>
        <v>0.17971014492753623</v>
      </c>
      <c r="AZ263" s="98">
        <f>(Kjøl+Ballast)/Depl</f>
        <v>0.5</v>
      </c>
      <c r="BA263" s="288">
        <f>BA$7*((Depl-Kjøl-Ballast-VektMotor/1000-VektAnnet/1000)/Loa/Lwl/Bredde)</f>
        <v>0.72948065888021407</v>
      </c>
      <c r="BB263" s="98">
        <f>BB$7*(Depl/Loa/Lwl/Lwl)</f>
        <v>0.5606598825692547</v>
      </c>
      <c r="BC263" s="178">
        <f>BC$7*(Depl/Loa/Lwl/Bredde)</f>
        <v>0.93591872288985301</v>
      </c>
      <c r="BD263" s="98">
        <f>BD$7*Bredde/(Loa+Lwl)*2</f>
        <v>0.51265700483091792</v>
      </c>
      <c r="BE263" s="98">
        <f>BE$7*(Dypg/Lwl)</f>
        <v>1.0548447204968945</v>
      </c>
      <c r="BF263" s="58"/>
      <c r="BG263" s="296"/>
      <c r="BH263" s="296"/>
      <c r="BI263" s="47">
        <f t="shared" si="1903"/>
        <v>1</v>
      </c>
      <c r="BJ263" s="61"/>
      <c r="BK263" s="61"/>
      <c r="BM263" s="214"/>
      <c r="BN263" s="214" t="str">
        <f>$A263</f>
        <v>FLICA II</v>
      </c>
      <c r="BO263" s="10"/>
      <c r="BP263" s="10"/>
      <c r="BQ263" s="10"/>
      <c r="BR263" s="10"/>
      <c r="BS263" s="52"/>
      <c r="BT263" s="214" t="str">
        <f>$A263</f>
        <v>FLICA II</v>
      </c>
      <c r="BU263" s="10"/>
      <c r="BV263" s="10"/>
      <c r="BW263" s="10"/>
      <c r="BX263" s="10"/>
      <c r="BY263" s="10"/>
      <c r="BZ263" s="10"/>
      <c r="CA263" s="10"/>
      <c r="CB263" s="10"/>
      <c r="CC263" s="10"/>
      <c r="CD263" s="214"/>
      <c r="CE263" s="10"/>
      <c r="CF263" s="214" t="str">
        <f>$A263</f>
        <v>FLICA II</v>
      </c>
      <c r="CG263" s="212"/>
      <c r="CH263" s="212"/>
      <c r="CI263" s="119"/>
      <c r="CJ263" s="212"/>
      <c r="CK263" s="208"/>
      <c r="CL263" s="208" t="s">
        <v>26</v>
      </c>
      <c r="CM263" s="110" t="str">
        <f t="shared" si="1772"/>
        <v>-</v>
      </c>
      <c r="CN263" s="64" t="str">
        <f>IF(SeilBeregnet=0,"-",(SeilBeregnet)^(1/2)*StHfaktor/(Depl+DeplTillegg/1000+Vann/1000+Diesel/1000*0.84)^(1/3))</f>
        <v>-</v>
      </c>
      <c r="CO263" s="64" t="str">
        <f t="shared" si="1759"/>
        <v>-</v>
      </c>
      <c r="CP263" s="64" t="str">
        <f t="shared" si="1760"/>
        <v>-</v>
      </c>
      <c r="CQ263" s="110" t="str">
        <f t="shared" si="1761"/>
        <v>-</v>
      </c>
      <c r="CR263" s="172" t="str">
        <f t="shared" si="2004"/>
        <v>-</v>
      </c>
      <c r="CS263" s="162"/>
      <c r="CT263" s="172" t="str">
        <f t="shared" si="2073"/>
        <v>-</v>
      </c>
      <c r="CU263" s="164">
        <v>1.83</v>
      </c>
      <c r="CV263" s="195" t="s">
        <v>145</v>
      </c>
      <c r="CW263" s="30" t="s">
        <v>26</v>
      </c>
      <c r="CX263" s="30" t="s">
        <v>26</v>
      </c>
      <c r="CY263" s="30" t="s">
        <v>26</v>
      </c>
      <c r="CZ263" s="153">
        <v>2022</v>
      </c>
      <c r="DA263" s="64" t="str">
        <f t="shared" si="1951"/>
        <v>-</v>
      </c>
      <c r="DB263" s="49">
        <f t="shared" si="1904"/>
        <v>14.917127071823206</v>
      </c>
      <c r="DC263" s="50">
        <f t="shared" si="1905"/>
        <v>0</v>
      </c>
      <c r="DE263" s="110" t="str">
        <f>IF(SeilBeregnet=0,"-",DE$7*(DG:DG+DE$6)*DL:DL*PropF+ErfaringsF+Dyp_F)</f>
        <v>-</v>
      </c>
      <c r="DF263" s="144" t="str">
        <f t="shared" si="1990"/>
        <v>-</v>
      </c>
      <c r="DG263" s="110">
        <f t="shared" si="1959"/>
        <v>6.654323557003142</v>
      </c>
      <c r="DH263" s="136">
        <f>IF(SeilBeregnet=0,DH262,(SeilBeregnet^0.5/(Depl^0.3333))^DH$3*DH$7)</f>
        <v>4.2179832298025</v>
      </c>
      <c r="DI263" s="136">
        <f>IF(SeilBeregnet=0,DI262,(SeilBeregnet^0.5/Lwl)^DI$3*DI$7)</f>
        <v>0</v>
      </c>
      <c r="DJ263" s="136">
        <f>IF(SeilBeregnet=0,DJ262,(0.1*Loa/Depl^0.3333)^DJ$3*DJ$7)</f>
        <v>0</v>
      </c>
      <c r="DK263" s="136">
        <f>IF(SeilBeregnet=0,DK262,((Loa)/Bredde)^DK$3*DK$7)</f>
        <v>2.4363403272006425</v>
      </c>
      <c r="DL263" s="110">
        <f t="shared" si="2085"/>
        <v>1.9315671412704052</v>
      </c>
      <c r="DM263" s="136">
        <f>IF(SeilBeregnet=0,DM262,(Dypg/Loa)^DM$3*5*DM$7)</f>
        <v>1.8470962903655979</v>
      </c>
      <c r="DO263" s="110" t="str">
        <f t="shared" si="669"/>
        <v>-</v>
      </c>
      <c r="DP263" s="110" t="str">
        <f t="shared" si="1952"/>
        <v>-</v>
      </c>
      <c r="DR263" s="110" t="str">
        <f t="shared" si="1953"/>
        <v>-</v>
      </c>
      <c r="DS263" s="125" t="str">
        <f t="shared" si="1991"/>
        <v>-</v>
      </c>
      <c r="DT263" s="110" t="str">
        <f t="shared" si="1966"/>
        <v>-</v>
      </c>
      <c r="DU263" s="125" t="str">
        <f t="shared" si="1992"/>
        <v>-</v>
      </c>
      <c r="DV263" s="110">
        <f t="shared" si="1687"/>
        <v>4.2175408066992262</v>
      </c>
      <c r="DW263" s="110">
        <f t="shared" si="1688"/>
        <v>2.4053316014652082</v>
      </c>
      <c r="DX263" s="110">
        <f t="shared" si="2005"/>
        <v>1.7704038094864074</v>
      </c>
      <c r="DZ263" s="110" t="str">
        <f t="shared" si="1967"/>
        <v>-</v>
      </c>
      <c r="EB263" s="110">
        <f t="shared" si="1690"/>
        <v>4.2175408066992262</v>
      </c>
      <c r="EC263" s="110">
        <f t="shared" si="2006"/>
        <v>2.4055216296858064</v>
      </c>
      <c r="ED263" s="110">
        <f t="shared" si="2007"/>
        <v>2.1415589697189774</v>
      </c>
      <c r="EE263" s="110" t="str">
        <f t="shared" si="1968"/>
        <v>-</v>
      </c>
      <c r="EG263" s="110">
        <f t="shared" si="2008"/>
        <v>7.4667503108446862</v>
      </c>
      <c r="EH263" s="110">
        <f t="shared" si="1694"/>
        <v>4.2175408066992262</v>
      </c>
      <c r="EI263" s="110">
        <f t="shared" si="2009"/>
        <v>1.7704038094864074</v>
      </c>
      <c r="EJ263" s="110">
        <f t="shared" si="2010"/>
        <v>1.9315671412704052</v>
      </c>
      <c r="EK263" s="110" t="str">
        <f>IF(SeilBeregnet=0,"-",EK$7*(EK$4*EM:EM+EK$6)*EP:EP*PropF+ErfaringsF+Dyp_F)</f>
        <v>-</v>
      </c>
      <c r="EM263" s="110">
        <f>IF(SeilBeregnet=0,EM262,(EN:EN*EO:EO)^EM$3)</f>
        <v>2.1842226585773998</v>
      </c>
      <c r="EN263" s="110">
        <f t="shared" si="1697"/>
        <v>4.2175408066992262</v>
      </c>
      <c r="EO263" s="110">
        <f t="shared" si="2011"/>
        <v>1.1311873058026716</v>
      </c>
      <c r="EP263" s="110">
        <f t="shared" si="2012"/>
        <v>2.0037084229436135</v>
      </c>
      <c r="EQ263" s="110" t="str">
        <f>IF(SeilBeregnet=0,"-",EQ$7*(ES:ES+EQ$6)*EV:EV*PropF+ErfaringsF+Dyp_F)</f>
        <v>-</v>
      </c>
      <c r="ES263" s="110">
        <f>(ET:ET*EU:EU)^ES$3</f>
        <v>2.1843372188472046</v>
      </c>
      <c r="ET263" s="110">
        <f t="shared" si="1700"/>
        <v>4.2179832298025</v>
      </c>
      <c r="EU263" s="110">
        <f t="shared" si="2013"/>
        <v>1.1311873058026716</v>
      </c>
      <c r="EV263" s="110">
        <f t="shared" si="2014"/>
        <v>2.0037084229436135</v>
      </c>
      <c r="EW263" s="110" t="str">
        <f>IF(SeilBeregnet=0,"-",EW$7*(EY:EY+EW$6)*FB:FB*PropF+ErfaringsF+Dyp_F)</f>
        <v>-</v>
      </c>
      <c r="EX263" s="144" t="str">
        <f t="shared" si="1993"/>
        <v>-</v>
      </c>
      <c r="EY263" s="110">
        <f>(EZ:EZ*FA:FA)^EY$3</f>
        <v>5.3972668934843258</v>
      </c>
      <c r="EZ263" s="136">
        <f t="shared" si="2015"/>
        <v>4.2179832298025</v>
      </c>
      <c r="FA263" s="136">
        <f t="shared" si="2016"/>
        <v>1.2795847208091067</v>
      </c>
      <c r="FB263" s="110">
        <f t="shared" si="2017"/>
        <v>1.126768049853176</v>
      </c>
      <c r="FC263" s="110" t="str">
        <f>IF(SeilBeregnet=0,"-",FC$7*(FE:FE+FC$6)*FI:FI*PropF+ErfaringsF+Dyp_F)</f>
        <v>-</v>
      </c>
      <c r="FD263" s="144" t="str">
        <f t="shared" si="1994"/>
        <v>-</v>
      </c>
      <c r="FE263" s="110">
        <f>(FF:FF+FG:FG+FH:FH)^FE$3+FE$7</f>
        <v>7.1261446244218689</v>
      </c>
      <c r="FF263" s="136">
        <f t="shared" si="2018"/>
        <v>4.2179832298025</v>
      </c>
      <c r="FG263" s="136">
        <f>IF(SeilBeregnet=0,FG262,(SeilBeregnet^0.5/Lwl*FG$7)^FG$3)</f>
        <v>0.9718210674187272</v>
      </c>
      <c r="FH263" s="136">
        <f>IF(SeilBeregnet=0,FH262,((Loa)/Bredde)^FH$3*FH$7)</f>
        <v>2.4363403272006425</v>
      </c>
      <c r="FI263" s="110">
        <f t="shared" si="2019"/>
        <v>1.9315671412704052</v>
      </c>
      <c r="FJ263" s="110" t="str">
        <f>IF(SeilBeregnet=0,"-",FJ$7*(FL:FL+FJ$6)*FO:FO*PropF+ErfaringsF+Dyp_F)</f>
        <v>-</v>
      </c>
      <c r="FK263" s="144" t="str">
        <f t="shared" si="1995"/>
        <v>-</v>
      </c>
      <c r="FL263" s="110">
        <f>(FM:FM*FN:FN)^FL$3</f>
        <v>10.276442642223845</v>
      </c>
      <c r="FM263" s="136">
        <f t="shared" si="2020"/>
        <v>4.2179832298025</v>
      </c>
      <c r="FN263" s="136">
        <f t="shared" si="2021"/>
        <v>2.4363403272006425</v>
      </c>
      <c r="FO263" s="110">
        <f t="shared" si="2022"/>
        <v>1.9315671412704052</v>
      </c>
      <c r="FQ263" s="374">
        <v>1</v>
      </c>
      <c r="FR263" s="64" t="str">
        <f t="shared" ref="FR263:FR265" si="2092">IF(SeilBeregnet=0,"-",0.06*2.43^(1/2)*(SeilBeregnet^(1/2)/Depl^(1/3)+(Loa/Bredde)^(1/2)+5*(Dypg/Loa)^(1/2))*Lwl^(1/4)*FQ263)</f>
        <v>-</v>
      </c>
      <c r="FS263" s="480" t="s">
        <v>573</v>
      </c>
      <c r="FT263" s="59"/>
      <c r="FU263" s="475"/>
      <c r="FV263" s="77"/>
      <c r="FW263" s="59"/>
      <c r="FX263" s="59"/>
      <c r="FY263" s="59"/>
      <c r="FZ263" s="59"/>
      <c r="GB263" s="59" t="s">
        <v>522</v>
      </c>
      <c r="GC263" s="475" t="s">
        <v>522</v>
      </c>
      <c r="GD263" s="60" t="s">
        <v>522</v>
      </c>
      <c r="GE263" s="60" t="s">
        <v>522</v>
      </c>
      <c r="GF263" s="60" t="s">
        <v>522</v>
      </c>
      <c r="GG263" s="60" t="s">
        <v>522</v>
      </c>
      <c r="GI263" s="59"/>
      <c r="GJ263" s="59"/>
      <c r="GK263" s="59"/>
      <c r="GL263" s="59"/>
      <c r="GM263" s="59"/>
      <c r="GN263" s="59"/>
      <c r="GO263" s="59"/>
      <c r="GP263" s="59"/>
    </row>
    <row r="264" spans="1:198" ht="15.6" x14ac:dyDescent="0.3">
      <c r="A264" s="62" t="s">
        <v>71</v>
      </c>
      <c r="B264" s="223"/>
      <c r="C264" s="63" t="str">
        <f>C263</f>
        <v>Bermuda</v>
      </c>
      <c r="D264" s="63"/>
      <c r="E264" s="63"/>
      <c r="F264" s="63"/>
      <c r="G264" s="56"/>
      <c r="H264" s="209">
        <f>TBFavrundet</f>
        <v>152.5</v>
      </c>
      <c r="I264" s="65">
        <f>COUNTA(O264:AD264)</f>
        <v>2</v>
      </c>
      <c r="J264" s="228">
        <f>SUM(O264:AD264)</f>
        <v>217</v>
      </c>
      <c r="K264" s="119">
        <f>Seilareal/Depl^0.667/K$7</f>
        <v>2.0526892972746342</v>
      </c>
      <c r="L264" s="119">
        <f>Seilareal/Lwl/Lwl/L$7</f>
        <v>1.679889193261197</v>
      </c>
      <c r="M264" s="95">
        <f>RiggF</f>
        <v>1</v>
      </c>
      <c r="N264" s="265">
        <f>StHfaktor</f>
        <v>1.0730028708333892</v>
      </c>
      <c r="O264" s="147"/>
      <c r="P264" s="169">
        <v>82</v>
      </c>
      <c r="Q264" s="147"/>
      <c r="R264" s="147"/>
      <c r="S264" s="147"/>
      <c r="T264" s="147"/>
      <c r="U264" s="148"/>
      <c r="V264" s="148"/>
      <c r="W264" s="148"/>
      <c r="X264" s="148"/>
      <c r="Y264" s="147"/>
      <c r="Z264" s="147"/>
      <c r="AA264" s="147"/>
      <c r="AB264" s="169">
        <v>135</v>
      </c>
      <c r="AC264" s="147"/>
      <c r="AD264" s="148"/>
      <c r="AE264" s="260">
        <f t="shared" ref="AE264:AE265" si="2093">AE263</f>
        <v>24.599999999999998</v>
      </c>
      <c r="AF264" s="375">
        <f t="shared" ref="AF264:AH265" si="2094" xml:space="preserve"> AF263</f>
        <v>0</v>
      </c>
      <c r="AG264" s="377"/>
      <c r="AH264" s="375">
        <f t="shared" si="2094"/>
        <v>0</v>
      </c>
      <c r="AI264" s="377"/>
      <c r="AJ264" s="295" t="str">
        <f t="shared" ref="AJ264:AJ265" si="2095" xml:space="preserve"> AJ263</f>
        <v>Meter</v>
      </c>
      <c r="AK264" s="47">
        <f>VLOOKUP(AJ264,Skrogform!$1:$1048576,3,FALSE)</f>
        <v>1</v>
      </c>
      <c r="AL264" s="66">
        <f t="shared" ref="AL264:AT264" si="2096">AL263</f>
        <v>20.5</v>
      </c>
      <c r="AM264" s="66">
        <f t="shared" si="2096"/>
        <v>14</v>
      </c>
      <c r="AN264" s="66">
        <f t="shared" si="2096"/>
        <v>3.1</v>
      </c>
      <c r="AO264" s="66">
        <f t="shared" si="2096"/>
        <v>2.7</v>
      </c>
      <c r="AP264" s="66">
        <f t="shared" si="2096"/>
        <v>30</v>
      </c>
      <c r="AQ264" s="66">
        <f t="shared" si="2096"/>
        <v>15</v>
      </c>
      <c r="AR264" s="66">
        <f t="shared" si="2096"/>
        <v>0</v>
      </c>
      <c r="AS264" s="284">
        <f t="shared" si="2096"/>
        <v>0</v>
      </c>
      <c r="AT264" s="284">
        <f t="shared" si="2096"/>
        <v>0</v>
      </c>
      <c r="AU264" s="284">
        <f t="shared" ref="AU264:AV264" si="2097">AU263</f>
        <v>300</v>
      </c>
      <c r="AV264" s="284">
        <f t="shared" si="2097"/>
        <v>300</v>
      </c>
      <c r="AW264" s="284"/>
      <c r="AX264" s="284">
        <f>AX263</f>
        <v>0</v>
      </c>
      <c r="AY264" s="68"/>
      <c r="AZ264" s="68"/>
      <c r="BA264" s="289"/>
      <c r="BB264" s="68"/>
      <c r="BC264" s="179"/>
      <c r="BD264" s="68"/>
      <c r="BE264" s="68"/>
      <c r="BF264" s="67">
        <f t="shared" ref="BF264:BH264" si="2098" xml:space="preserve"> BF263</f>
        <v>0</v>
      </c>
      <c r="BG264" s="295">
        <f t="shared" si="2098"/>
        <v>0</v>
      </c>
      <c r="BH264" s="295">
        <f t="shared" si="2098"/>
        <v>0</v>
      </c>
      <c r="BI264" s="47">
        <f t="shared" si="1903"/>
        <v>1</v>
      </c>
      <c r="BJ264" s="61"/>
      <c r="BK264" s="61"/>
      <c r="BM264" s="51">
        <f t="shared" ref="BM264:BR265" si="2099">IF(O264=0,0,O264*BM$9)</f>
        <v>0</v>
      </c>
      <c r="BN264" s="51">
        <f t="shared" si="2099"/>
        <v>82</v>
      </c>
      <c r="BO264" s="51">
        <f t="shared" si="2099"/>
        <v>0</v>
      </c>
      <c r="BP264" s="51">
        <f t="shared" si="2099"/>
        <v>0</v>
      </c>
      <c r="BQ264" s="51">
        <f t="shared" si="2099"/>
        <v>0</v>
      </c>
      <c r="BR264" s="51">
        <f t="shared" si="2099"/>
        <v>0</v>
      </c>
      <c r="BS264" s="52">
        <f>IF(COUNT(P264:T264)&gt;1,MINA(P264:T264)*BS$9,0)</f>
        <v>0</v>
      </c>
      <c r="BT264" s="88">
        <f t="shared" ref="BT264:CC265" si="2100">IF(U264=0,0,U264*BT$9)</f>
        <v>0</v>
      </c>
      <c r="BU264" s="88">
        <f t="shared" si="2100"/>
        <v>0</v>
      </c>
      <c r="BV264" s="88">
        <f t="shared" si="2100"/>
        <v>0</v>
      </c>
      <c r="BW264" s="88">
        <f t="shared" si="2100"/>
        <v>0</v>
      </c>
      <c r="BX264" s="88">
        <f t="shared" si="2100"/>
        <v>0</v>
      </c>
      <c r="BY264" s="88">
        <f t="shared" si="2100"/>
        <v>0</v>
      </c>
      <c r="BZ264" s="88">
        <f t="shared" si="2100"/>
        <v>0</v>
      </c>
      <c r="CA264" s="88">
        <f t="shared" si="2100"/>
        <v>135</v>
      </c>
      <c r="CB264" s="88">
        <f t="shared" si="2100"/>
        <v>0</v>
      </c>
      <c r="CC264" s="88">
        <f t="shared" si="2100"/>
        <v>0</v>
      </c>
      <c r="CD264" s="103">
        <f>SUM(BM264:CC264)</f>
        <v>217</v>
      </c>
      <c r="CE264" s="52"/>
      <c r="CF264" s="107">
        <f>J264</f>
        <v>217</v>
      </c>
      <c r="CG264" s="104">
        <f>CD264/CF264</f>
        <v>1</v>
      </c>
      <c r="CH264" s="53">
        <f>Seilareal/Lwl/Lwl</f>
        <v>1.1071428571428572</v>
      </c>
      <c r="CI264" s="119">
        <f>Seilareal/Depl^0.667/K$7</f>
        <v>2.0526892972746342</v>
      </c>
      <c r="CJ264" s="53">
        <f>Seilareal/Lwl/Lwl/SApRS1</f>
        <v>1.679889193261197</v>
      </c>
      <c r="CK264" s="209"/>
      <c r="CL264" s="209">
        <f>(ROUND(TBF/CL$6,3)*CL$6)*CL$4</f>
        <v>152.5</v>
      </c>
      <c r="CM264" s="110">
        <f t="shared" si="1772"/>
        <v>1.5252868468818281</v>
      </c>
      <c r="CN264" s="64">
        <f>IF(SeilBeregnet=0,"-",(SeilBeregnet)^(1/2)*StHfaktor/(Depl+DeplTillegg/1000+Vann/1000+Diesel/1000*0.84)^(1/3))</f>
        <v>5.0451369796673351</v>
      </c>
      <c r="CO264" s="64">
        <f t="shared" si="1759"/>
        <v>2.3589226627916946</v>
      </c>
      <c r="CP264" s="64">
        <f t="shared" si="1760"/>
        <v>1.9343364202676692</v>
      </c>
      <c r="CQ264" s="110">
        <f t="shared" si="1761"/>
        <v>1.0730028708333892</v>
      </c>
      <c r="CR264" s="172" t="str">
        <f t="shared" si="2004"/>
        <v>-</v>
      </c>
      <c r="CS264" s="163">
        <f>CS263</f>
        <v>0</v>
      </c>
      <c r="CT264" s="172">
        <f t="shared" si="2073"/>
        <v>1.4126315789473687</v>
      </c>
      <c r="CU264" s="163">
        <f>CU263</f>
        <v>1.83</v>
      </c>
      <c r="CV264" s="195" t="s">
        <v>145</v>
      </c>
      <c r="CW264" s="64">
        <v>1.53</v>
      </c>
      <c r="CX264" s="64">
        <v>1.26</v>
      </c>
      <c r="CY264" s="64">
        <v>1.48</v>
      </c>
      <c r="CZ264" s="154">
        <v>1.53</v>
      </c>
      <c r="DA264" s="64">
        <f t="shared" si="1951"/>
        <v>2.0486068313432377</v>
      </c>
      <c r="DB264" s="49">
        <f t="shared" si="1904"/>
        <v>14.917127071823206</v>
      </c>
      <c r="DC264" s="50">
        <f t="shared" si="1905"/>
        <v>0</v>
      </c>
      <c r="DE264" s="110">
        <f>IF(SeilBeregnet=0,"-",DE$7*(DG:DG+DE$6)*DL:DL*PropF+ErfaringsF+Dyp_F)</f>
        <v>1.4287148923540445</v>
      </c>
      <c r="DF264" s="145">
        <f t="shared" si="1990"/>
        <v>-9.6571954527783888</v>
      </c>
      <c r="DG264" s="110">
        <f t="shared" si="1959"/>
        <v>7.312943009958909</v>
      </c>
      <c r="DH264" s="136">
        <f>IF(SeilBeregnet=0,DH263,(SeilBeregnet^0.5/(Depl^0.3333))^DH$3*DH$7)</f>
        <v>4.7413864335238403</v>
      </c>
      <c r="DI264" s="136">
        <f>IF(SeilBeregnet=0,DI263,(SeilBeregnet^0.5/Lwl)^DI$3*DI$7)</f>
        <v>0</v>
      </c>
      <c r="DJ264" s="136">
        <f>IF(SeilBeregnet=0,DJ263,(0.1*Loa/Depl^0.3333)^DJ$3*DJ$7)</f>
        <v>0</v>
      </c>
      <c r="DK264" s="136">
        <f>IF(SeilBeregnet=0,DK263,((Loa)/Bredde)^DK$3*DK$7)</f>
        <v>2.5715565764350687</v>
      </c>
      <c r="DL264" s="110">
        <f t="shared" si="2085"/>
        <v>1.9343364202676692</v>
      </c>
      <c r="DM264" s="136">
        <f>IF(SeilBeregnet=0,DM263,(Dypg/Loa)^DM$3*5*DM$7)</f>
        <v>1.8145751367274014</v>
      </c>
      <c r="DO264" s="110">
        <f t="shared" ref="DO264:DO265" si="2101">IF(SeilBeregnet=0,"-",Skaleringsfaktor*(1*(LBf+SaDeplf)*Lf*PropF+Strikkf2)+ErfaringsF+Dyp_F)</f>
        <v>1.5252868468818284</v>
      </c>
      <c r="DP264" s="110">
        <f t="shared" si="1952"/>
        <v>1.5199521639663383</v>
      </c>
      <c r="DQ264" s="125">
        <f>DP264-DO264</f>
        <v>-5.3346829154901076E-3</v>
      </c>
      <c r="DR264" s="110">
        <f t="shared" si="1953"/>
        <v>1.5423279310083267</v>
      </c>
      <c r="DS264" s="125">
        <f t="shared" si="1991"/>
        <v>1.7041084126498296E-2</v>
      </c>
      <c r="DT264" s="110">
        <f t="shared" si="1966"/>
        <v>1.5333283747557318</v>
      </c>
      <c r="DU264" s="125">
        <f t="shared" si="1992"/>
        <v>8.0415278739034424E-3</v>
      </c>
      <c r="DV264" s="110">
        <f t="shared" ref="DV264:DV265" si="2102">IF(SeilBeregnet=0,DV263,SeilBeregnet^0.5/Depl^0.33333)</f>
        <v>4.7409026664713725</v>
      </c>
      <c r="DW264" s="110">
        <f t="shared" ref="DW264:DW265" si="2103">IF(SeilBeregnet=0,DW263,Lwl^0.3333)</f>
        <v>2.4099302567134409</v>
      </c>
      <c r="DX264" s="110">
        <f t="shared" si="2005"/>
        <v>1.8264775997283047</v>
      </c>
      <c r="DZ264" s="110">
        <f t="shared" si="1967"/>
        <v>1.5341400874007827</v>
      </c>
      <c r="EB264" s="110">
        <f t="shared" ref="EB264:EB265" si="2104">IF(SeilBeregnet=0,EB263,SeilBeregnet^0.5/Depl^0.33333)</f>
        <v>4.7409026664713725</v>
      </c>
      <c r="EC264" s="110">
        <f t="shared" si="2006"/>
        <v>2.4101210625897918</v>
      </c>
      <c r="ED264" s="110">
        <f t="shared" si="2007"/>
        <v>2.2324629077071676</v>
      </c>
      <c r="EE264" s="110">
        <f t="shared" si="1968"/>
        <v>1.4843896123398619</v>
      </c>
      <c r="EG264" s="110">
        <f t="shared" si="2008"/>
        <v>8.6591525228021524</v>
      </c>
      <c r="EH264" s="110">
        <f t="shared" ref="EH264:EH265" si="2105">IF(SeilBeregnet=0,EH263,SeilBeregnet^0.5/Depl^0.33333)</f>
        <v>4.7409026664713725</v>
      </c>
      <c r="EI264" s="110">
        <f t="shared" si="2009"/>
        <v>1.8264775997283047</v>
      </c>
      <c r="EJ264" s="110">
        <f t="shared" si="2010"/>
        <v>1.9343364202676692</v>
      </c>
      <c r="EK264" s="110">
        <f>IF(SeilBeregnet=0,"-",EK$7*(EK$4*EM:EM+EK$6)*EP:EP*PropF+ErfaringsF+Dyp_F)</f>
        <v>1.4371348223054474</v>
      </c>
      <c r="EM264" s="110">
        <f>IF(SeilBeregnet=0,EM263,(EN:EN*EO:EO)^EM$3)</f>
        <v>2.3521704430294053</v>
      </c>
      <c r="EN264" s="110">
        <f t="shared" ref="EN264:EN265" si="2106">IF(SeilBeregnet=0,EN263,SeilBeregnet^0.5/Depl^0.33333)</f>
        <v>4.7409026664713725</v>
      </c>
      <c r="EO264" s="110">
        <f t="shared" si="2011"/>
        <v>1.1670152674066838</v>
      </c>
      <c r="EP264" s="110">
        <f t="shared" si="2012"/>
        <v>1.9984356656002644</v>
      </c>
      <c r="EQ264" s="110">
        <f>IF(SeilBeregnet=0,"-",EQ$7*(ES:ES+EQ$6)*EV:EV*PropF+ErfaringsF+Dyp_F)</f>
        <v>1.2863497894715641</v>
      </c>
      <c r="ES264" s="110">
        <f>(ET:ET*EU:EU)^ES$3</f>
        <v>2.3522904490298915</v>
      </c>
      <c r="ET264" s="110">
        <f t="shared" ref="ET264:ET265" si="2107">IF(SeilBeregnet=0,ET263,SeilBeregnet^0.5/Depl^0.3333)</f>
        <v>4.7413864335238403</v>
      </c>
      <c r="EU264" s="110">
        <f t="shared" si="2013"/>
        <v>1.1670152674066838</v>
      </c>
      <c r="EV264" s="110">
        <f t="shared" si="2014"/>
        <v>1.9984356656002644</v>
      </c>
      <c r="EW264" s="110">
        <f>IF(SeilBeregnet=0,"-",EW$7*(EY:EY+EW$6)*FB:FB*PropF+ErfaringsF+Dyp_F)</f>
        <v>1.6252632590022329</v>
      </c>
      <c r="EX264" s="144">
        <f t="shared" si="1993"/>
        <v>9.9976412120404525</v>
      </c>
      <c r="EY264" s="110">
        <f>(EZ:EZ*FA:FA)^EY$3</f>
        <v>6.4574109848378125</v>
      </c>
      <c r="EZ264" s="136">
        <f t="shared" si="2015"/>
        <v>4.7413864335238403</v>
      </c>
      <c r="FA264" s="136">
        <f t="shared" si="2016"/>
        <v>1.3619246343602935</v>
      </c>
      <c r="FB264" s="110">
        <f t="shared" si="2017"/>
        <v>1.12380296050131</v>
      </c>
      <c r="FC264" s="110">
        <f>IF(SeilBeregnet=0,"-",FC$7*(FE:FE+FC$6)*FI:FI*PropF+ErfaringsF+Dyp_F)</f>
        <v>1.4605295170394204</v>
      </c>
      <c r="FD264" s="144">
        <f t="shared" si="1994"/>
        <v>-6.4757329842408007</v>
      </c>
      <c r="FE264" s="110">
        <f>(FF:FF+FG:FG+FH:FH)^FE$3+FE$7</f>
        <v>7.8651515715772113</v>
      </c>
      <c r="FF264" s="136">
        <f t="shared" si="2018"/>
        <v>4.7413864335238403</v>
      </c>
      <c r="FG264" s="136">
        <f>IF(SeilBeregnet=0,FG263,(SeilBeregnet^0.5/Lwl*FG$7)^FG$3)</f>
        <v>1.0522085616183026</v>
      </c>
      <c r="FH264" s="136">
        <f>IF(SeilBeregnet=0,FH263,((Loa)/Bredde)^FH$3*FH$7)</f>
        <v>2.5715565764350687</v>
      </c>
      <c r="FI264" s="110">
        <f t="shared" si="2019"/>
        <v>1.9343364202676692</v>
      </c>
      <c r="FJ264" s="110">
        <f>IF(SeilBeregnet=0,"-",FJ$7*(FL:FL+FJ$6)*FO:FO*PropF+ErfaringsF+Dyp_F)</f>
        <v>1.6287550982314014</v>
      </c>
      <c r="FK264" s="144">
        <f t="shared" si="1995"/>
        <v>10.346825134957305</v>
      </c>
      <c r="FL264" s="110">
        <f>(FM:FM*FN:FN)^FL$3</f>
        <v>12.192743464548247</v>
      </c>
      <c r="FM264" s="136">
        <f t="shared" si="2020"/>
        <v>4.7413864335238403</v>
      </c>
      <c r="FN264" s="136">
        <f t="shared" si="2021"/>
        <v>2.5715565764350687</v>
      </c>
      <c r="FO264" s="110">
        <f t="shared" si="2022"/>
        <v>1.9343364202676692</v>
      </c>
      <c r="FQ264" s="374">
        <v>1</v>
      </c>
      <c r="FR264" s="64">
        <f t="shared" si="2092"/>
        <v>1.6512526400365508</v>
      </c>
      <c r="FS264" s="479"/>
      <c r="FT264" s="18"/>
      <c r="FU264" s="481"/>
      <c r="FV264" s="504"/>
      <c r="FW264" s="18"/>
      <c r="FX264" s="18"/>
      <c r="FY264" s="18"/>
      <c r="FZ264" s="18"/>
      <c r="GB264" s="18"/>
      <c r="GC264" s="481"/>
      <c r="GD264" s="8"/>
      <c r="GE264" s="8"/>
      <c r="GF264" s="8"/>
      <c r="GG264" s="8"/>
      <c r="GI264" s="18"/>
      <c r="GJ264" s="18"/>
      <c r="GK264" s="18"/>
      <c r="GL264" s="18"/>
      <c r="GM264" s="18"/>
      <c r="GN264" s="18"/>
      <c r="GO264" s="18"/>
      <c r="GP264" s="18"/>
    </row>
    <row r="265" spans="1:198" ht="15.6" x14ac:dyDescent="0.3">
      <c r="A265" s="62" t="s">
        <v>260</v>
      </c>
      <c r="B265" s="223"/>
      <c r="C265" s="14" t="str">
        <f>C263</f>
        <v>Bermuda</v>
      </c>
      <c r="G265" s="56"/>
      <c r="H265" s="209">
        <f>TBFavrundet</f>
        <v>147.5</v>
      </c>
      <c r="I265" s="65">
        <f>COUNTA(O265:AD265)</f>
        <v>2</v>
      </c>
      <c r="J265" s="228">
        <f>SUM(O265:AD265)</f>
        <v>197</v>
      </c>
      <c r="K265" s="119">
        <f>Seilareal/Depl^0.667/K$7</f>
        <v>1.8635013436087695</v>
      </c>
      <c r="L265" s="119">
        <f>Seilareal/Lwl/Lwl/L$7</f>
        <v>1.5250606961864321</v>
      </c>
      <c r="M265" s="95">
        <f>RiggF</f>
        <v>1</v>
      </c>
      <c r="N265" s="265">
        <f>StHfaktor</f>
        <v>1.0730028708333892</v>
      </c>
      <c r="O265" s="147"/>
      <c r="P265" s="147"/>
      <c r="Q265" s="147"/>
      <c r="R265" s="147"/>
      <c r="S265" s="147"/>
      <c r="T265" s="169">
        <v>72</v>
      </c>
      <c r="U265" s="148"/>
      <c r="V265" s="148"/>
      <c r="W265" s="148"/>
      <c r="X265" s="148"/>
      <c r="Y265" s="147"/>
      <c r="Z265" s="147"/>
      <c r="AA265" s="147"/>
      <c r="AB265" s="181">
        <v>125</v>
      </c>
      <c r="AC265" s="147"/>
      <c r="AD265" s="148"/>
      <c r="AE265" s="260">
        <f t="shared" si="2093"/>
        <v>24.599999999999998</v>
      </c>
      <c r="AF265" s="375">
        <f t="shared" si="2094"/>
        <v>0</v>
      </c>
      <c r="AG265" s="377"/>
      <c r="AH265" s="375">
        <f t="shared" si="2094"/>
        <v>0</v>
      </c>
      <c r="AI265" s="377"/>
      <c r="AJ265" s="295" t="str">
        <f t="shared" si="2095"/>
        <v>Meter</v>
      </c>
      <c r="AK265" s="47">
        <f>VLOOKUP(AJ265,Skrogform!$1:$1048576,3,FALSE)</f>
        <v>1</v>
      </c>
      <c r="AL265" s="66">
        <f t="shared" ref="AL265:AT265" si="2108">AL264</f>
        <v>20.5</v>
      </c>
      <c r="AM265" s="66">
        <f t="shared" si="2108"/>
        <v>14</v>
      </c>
      <c r="AN265" s="66">
        <f t="shared" si="2108"/>
        <v>3.1</v>
      </c>
      <c r="AO265" s="66">
        <f t="shared" si="2108"/>
        <v>2.7</v>
      </c>
      <c r="AP265" s="66">
        <f t="shared" si="2108"/>
        <v>30</v>
      </c>
      <c r="AQ265" s="66">
        <f t="shared" si="2108"/>
        <v>15</v>
      </c>
      <c r="AR265" s="66">
        <f t="shared" si="2108"/>
        <v>0</v>
      </c>
      <c r="AS265" s="284">
        <f t="shared" si="2108"/>
        <v>0</v>
      </c>
      <c r="AT265" s="284">
        <f t="shared" si="2108"/>
        <v>0</v>
      </c>
      <c r="AU265" s="284">
        <f t="shared" ref="AU265:AV265" si="2109">AU264</f>
        <v>300</v>
      </c>
      <c r="AV265" s="284">
        <f t="shared" si="2109"/>
        <v>300</v>
      </c>
      <c r="AW265" s="284"/>
      <c r="AX265" s="284">
        <f>AX264</f>
        <v>0</v>
      </c>
      <c r="AY265" s="68"/>
      <c r="AZ265" s="68"/>
      <c r="BA265" s="289"/>
      <c r="BB265" s="68"/>
      <c r="BC265" s="179"/>
      <c r="BD265" s="68"/>
      <c r="BE265" s="68"/>
      <c r="BF265" s="67">
        <f t="shared" ref="BF265:BH265" si="2110" xml:space="preserve"> BF264</f>
        <v>0</v>
      </c>
      <c r="BG265" s="295">
        <f t="shared" si="2110"/>
        <v>0</v>
      </c>
      <c r="BH265" s="295">
        <f t="shared" si="2110"/>
        <v>0</v>
      </c>
      <c r="BI265" s="47">
        <f t="shared" si="1903"/>
        <v>1</v>
      </c>
      <c r="BJ265" s="61"/>
      <c r="BK265" s="61"/>
      <c r="BM265" s="51">
        <f t="shared" si="2099"/>
        <v>0</v>
      </c>
      <c r="BN265" s="51">
        <f t="shared" si="2099"/>
        <v>0</v>
      </c>
      <c r="BO265" s="51">
        <f t="shared" si="2099"/>
        <v>0</v>
      </c>
      <c r="BP265" s="51">
        <f t="shared" si="2099"/>
        <v>0</v>
      </c>
      <c r="BQ265" s="51">
        <f t="shared" si="2099"/>
        <v>0</v>
      </c>
      <c r="BR265" s="51">
        <f t="shared" si="2099"/>
        <v>72</v>
      </c>
      <c r="BS265" s="52">
        <f>IF(COUNT(P265:T265)&gt;1,MINA(P265:T265)*BS$9,0)</f>
        <v>0</v>
      </c>
      <c r="BT265" s="88">
        <f t="shared" si="2100"/>
        <v>0</v>
      </c>
      <c r="BU265" s="88">
        <f t="shared" si="2100"/>
        <v>0</v>
      </c>
      <c r="BV265" s="88">
        <f t="shared" si="2100"/>
        <v>0</v>
      </c>
      <c r="BW265" s="88">
        <f t="shared" si="2100"/>
        <v>0</v>
      </c>
      <c r="BX265" s="88">
        <f t="shared" si="2100"/>
        <v>0</v>
      </c>
      <c r="BY265" s="88">
        <f t="shared" si="2100"/>
        <v>0</v>
      </c>
      <c r="BZ265" s="88">
        <f t="shared" si="2100"/>
        <v>0</v>
      </c>
      <c r="CA265" s="88">
        <f t="shared" si="2100"/>
        <v>125</v>
      </c>
      <c r="CB265" s="88">
        <f t="shared" si="2100"/>
        <v>0</v>
      </c>
      <c r="CC265" s="88">
        <f t="shared" si="2100"/>
        <v>0</v>
      </c>
      <c r="CD265" s="103">
        <f>SUM(BM265:CC265)</f>
        <v>197</v>
      </c>
      <c r="CE265" s="52"/>
      <c r="CF265" s="107">
        <f>J265</f>
        <v>197</v>
      </c>
      <c r="CG265" s="104">
        <f>CD265/CF265</f>
        <v>1</v>
      </c>
      <c r="CH265" s="53">
        <f>Seilareal/Lwl/Lwl</f>
        <v>1.0051020408163265</v>
      </c>
      <c r="CI265" s="119">
        <f>Seilareal/Depl^0.667/K$7</f>
        <v>1.8635013436087695</v>
      </c>
      <c r="CJ265" s="53">
        <f>Seilareal/Lwl/Lwl/SApRS1</f>
        <v>1.5250606961864321</v>
      </c>
      <c r="CK265" s="209"/>
      <c r="CL265" s="209">
        <f>(ROUND(TBF/CL$6,3)*CL$6)*CL$4</f>
        <v>147.5</v>
      </c>
      <c r="CM265" s="110">
        <f t="shared" si="1772"/>
        <v>1.4762337598783621</v>
      </c>
      <c r="CN265" s="64">
        <f>IF(SeilBeregnet=0,"-",(SeilBeregnet)^(1/2)*StHfaktor/(Depl+DeplTillegg/1000+Vann/1000+Diesel/1000*0.84)^(1/3))</f>
        <v>4.8070230914089569</v>
      </c>
      <c r="CO265" s="64">
        <f t="shared" si="1759"/>
        <v>2.3589226627916946</v>
      </c>
      <c r="CP265" s="64">
        <f t="shared" si="1760"/>
        <v>1.9343364202676692</v>
      </c>
      <c r="CQ265" s="110">
        <f t="shared" si="1761"/>
        <v>1.0730028708333892</v>
      </c>
      <c r="CR265" s="172" t="str">
        <f t="shared" si="2004"/>
        <v>-</v>
      </c>
      <c r="CS265" s="162"/>
      <c r="CT265" s="172" t="str">
        <f t="shared" si="2073"/>
        <v>-</v>
      </c>
      <c r="CU265" s="164"/>
      <c r="CV265" s="195" t="s">
        <v>145</v>
      </c>
      <c r="CW265" s="64">
        <v>1.48</v>
      </c>
      <c r="CX265" s="64">
        <v>1.23</v>
      </c>
      <c r="CY265" s="64">
        <v>1.43</v>
      </c>
      <c r="CZ265" s="154">
        <v>1.48</v>
      </c>
      <c r="DA265" s="64">
        <f t="shared" si="1951"/>
        <v>2.0486068313432377</v>
      </c>
      <c r="DB265" s="49">
        <f t="shared" si="1904"/>
        <v>14.917127071823206</v>
      </c>
      <c r="DC265" s="50">
        <f t="shared" si="1905"/>
        <v>0</v>
      </c>
      <c r="DE265" s="110">
        <f>IF(SeilBeregnet=0,"-",DE$7*(DG:DG+DE$6)*DL:DL*PropF+ErfaringsF+Dyp_F)</f>
        <v>1.3849958641198898</v>
      </c>
      <c r="DF265" s="144" t="str">
        <f t="shared" si="1990"/>
        <v>-</v>
      </c>
      <c r="DG265" s="110">
        <f t="shared" si="1959"/>
        <v>7.0891651494227359</v>
      </c>
      <c r="DH265" s="136">
        <f>IF(SeilBeregnet=0,DH264,(SeilBeregnet^0.5/(Depl^0.3333))^DH$3*DH$7)</f>
        <v>4.5176085729876672</v>
      </c>
      <c r="DI265" s="136">
        <f>IF(SeilBeregnet=0,DI264,(SeilBeregnet^0.5/Lwl)^DI$3*DI$7)</f>
        <v>0</v>
      </c>
      <c r="DJ265" s="136">
        <f>IF(SeilBeregnet=0,DJ264,(0.1*Loa/Depl^0.3333)^DJ$3*DJ$7)</f>
        <v>0</v>
      </c>
      <c r="DK265" s="136">
        <f>IF(SeilBeregnet=0,DK264,((Loa)/Bredde)^DK$3*DK$7)</f>
        <v>2.5715565764350687</v>
      </c>
      <c r="DL265" s="110">
        <f t="shared" si="2085"/>
        <v>1.9343364202676692</v>
      </c>
      <c r="DM265" s="136">
        <f>IF(SeilBeregnet=0,DM264,(Dypg/Loa)^DM$3*5*DM$7)</f>
        <v>1.8145751367274014</v>
      </c>
      <c r="DO265" s="110">
        <f t="shared" si="2101"/>
        <v>1.4762337598783621</v>
      </c>
      <c r="DP265" s="110">
        <f t="shared" si="1952"/>
        <v>1.4575278787417267</v>
      </c>
      <c r="DR265" s="110">
        <f t="shared" si="1953"/>
        <v>1.4853897781230287</v>
      </c>
      <c r="DS265" s="125" t="str">
        <f t="shared" si="1991"/>
        <v>-</v>
      </c>
      <c r="DT265" s="110">
        <f t="shared" si="1966"/>
        <v>1.4716079151345749</v>
      </c>
      <c r="DU265" s="125" t="str">
        <f t="shared" si="1992"/>
        <v>-</v>
      </c>
      <c r="DV265" s="110">
        <f t="shared" si="2102"/>
        <v>4.5171476381505276</v>
      </c>
      <c r="DW265" s="110">
        <f t="shared" si="2103"/>
        <v>2.4099302567134409</v>
      </c>
      <c r="DX265" s="110">
        <f t="shared" si="2005"/>
        <v>1.8264775997283047</v>
      </c>
      <c r="DZ265" s="110">
        <f t="shared" si="1967"/>
        <v>1.4755217051639651</v>
      </c>
      <c r="EB265" s="110">
        <f t="shared" si="2104"/>
        <v>4.5171476381505276</v>
      </c>
      <c r="EC265" s="110">
        <f t="shared" si="2006"/>
        <v>2.4101210625897918</v>
      </c>
      <c r="ED265" s="110">
        <f t="shared" si="2007"/>
        <v>2.2324629077071676</v>
      </c>
      <c r="EE265" s="110">
        <f t="shared" si="1968"/>
        <v>1.4274764937139384</v>
      </c>
      <c r="EG265" s="110">
        <f t="shared" si="2008"/>
        <v>8.2504689757475571</v>
      </c>
      <c r="EH265" s="110">
        <f t="shared" si="2105"/>
        <v>4.5171476381505276</v>
      </c>
      <c r="EI265" s="110">
        <f t="shared" si="2009"/>
        <v>1.8264775997283047</v>
      </c>
      <c r="EJ265" s="110">
        <f t="shared" si="2010"/>
        <v>1.9343364202676692</v>
      </c>
      <c r="EK265" s="110">
        <f>IF(SeilBeregnet=0,"-",EK$7*(EK$4*EM:EM+EK$6)*EP:EP*PropF+ErfaringsF+Dyp_F)</f>
        <v>1.3935450513372292</v>
      </c>
      <c r="EM265" s="110">
        <f>IF(SeilBeregnet=0,EM264,(EN:EN*EO:EO)^EM$3)</f>
        <v>2.2959922166356983</v>
      </c>
      <c r="EN265" s="110">
        <f t="shared" si="2106"/>
        <v>4.5171476381505276</v>
      </c>
      <c r="EO265" s="110">
        <f t="shared" si="2011"/>
        <v>1.1670152674066838</v>
      </c>
      <c r="EP265" s="110">
        <f t="shared" si="2012"/>
        <v>1.9984356656002644</v>
      </c>
      <c r="EQ265" s="110">
        <f>IF(SeilBeregnet=0,"-",EQ$7*(ES:ES+EQ$6)*EV:EV*PropF+ErfaringsF+Dyp_F)</f>
        <v>1.2556271647958792</v>
      </c>
      <c r="ES265" s="110">
        <f>(ET:ET*EU:EU)^ES$3</f>
        <v>2.2961093564645236</v>
      </c>
      <c r="ET265" s="110">
        <f t="shared" si="2107"/>
        <v>4.5176085729876672</v>
      </c>
      <c r="EU265" s="110">
        <f t="shared" si="2013"/>
        <v>1.1670152674066838</v>
      </c>
      <c r="EV265" s="110">
        <f t="shared" si="2014"/>
        <v>1.9984356656002644</v>
      </c>
      <c r="EW265" s="110">
        <f>IF(SeilBeregnet=0,"-",EW$7*(EY:EY+EW$6)*FB:FB*PropF+ErfaringsF+Dyp_F)</f>
        <v>1.5666957874787848</v>
      </c>
      <c r="EX265" s="144" t="str">
        <f t="shared" si="1993"/>
        <v>-</v>
      </c>
      <c r="EY265" s="110">
        <f>(EZ:EZ*FA:FA)^EY$3</f>
        <v>6.1526424039491561</v>
      </c>
      <c r="EZ265" s="136">
        <f t="shared" si="2015"/>
        <v>4.5176085729876672</v>
      </c>
      <c r="FA265" s="136">
        <f t="shared" si="2016"/>
        <v>1.3619246343602935</v>
      </c>
      <c r="FB265" s="110">
        <f t="shared" si="2017"/>
        <v>1.12380296050131</v>
      </c>
      <c r="FC265" s="110">
        <f>IF(SeilBeregnet=0,"-",FC$7*(FE:FE+FC$6)*FI:FI*PropF+ErfaringsF+Dyp_F)</f>
        <v>1.4097529729534644</v>
      </c>
      <c r="FD265" s="144" t="str">
        <f t="shared" si="1994"/>
        <v>-</v>
      </c>
      <c r="FE265" s="110">
        <f>(FF:FF+FG:FG+FH:FH)^FE$3+FE$7</f>
        <v>7.591712924252608</v>
      </c>
      <c r="FF265" s="136">
        <f t="shared" si="2018"/>
        <v>4.5176085729876672</v>
      </c>
      <c r="FG265" s="136">
        <f>IF(SeilBeregnet=0,FG264,(SeilBeregnet^0.5/Lwl*FG$7)^FG$3)</f>
        <v>1.0025477748298715</v>
      </c>
      <c r="FH265" s="136">
        <f>IF(SeilBeregnet=0,FH264,((Loa)/Bredde)^FH$3*FH$7)</f>
        <v>2.5715565764350687</v>
      </c>
      <c r="FI265" s="110">
        <f t="shared" si="2019"/>
        <v>1.9343364202676692</v>
      </c>
      <c r="FJ265" s="110">
        <f>IF(SeilBeregnet=0,"-",FJ$7*(FL:FL+FJ$6)*FO:FO*PropF+ErfaringsF+Dyp_F)</f>
        <v>1.5708724285513387</v>
      </c>
      <c r="FK265" s="144" t="str">
        <f t="shared" si="1995"/>
        <v>-</v>
      </c>
      <c r="FL265" s="110">
        <f>(FM:FM*FN:FN)^FL$3</f>
        <v>11.617286035625881</v>
      </c>
      <c r="FM265" s="136">
        <f t="shared" si="2020"/>
        <v>4.5176085729876672</v>
      </c>
      <c r="FN265" s="136">
        <f t="shared" si="2021"/>
        <v>2.5715565764350687</v>
      </c>
      <c r="FO265" s="110">
        <f t="shared" si="2022"/>
        <v>1.9343364202676692</v>
      </c>
      <c r="FQ265" s="374">
        <v>1</v>
      </c>
      <c r="FR265" s="64">
        <f t="shared" si="2092"/>
        <v>1.6107713563200643</v>
      </c>
      <c r="FS265" s="479"/>
      <c r="FT265" s="18"/>
      <c r="FU265" s="481"/>
      <c r="FV265" s="504"/>
      <c r="FW265" s="18"/>
      <c r="FX265" s="18"/>
      <c r="FY265" s="18"/>
      <c r="FZ265" s="18"/>
      <c r="GB265" s="18"/>
      <c r="GC265" s="481"/>
      <c r="GD265" s="8"/>
      <c r="GE265" s="8"/>
      <c r="GF265" s="8"/>
      <c r="GG265" s="8"/>
      <c r="GI265" s="18"/>
      <c r="GJ265" s="18"/>
      <c r="GK265" s="18"/>
      <c r="GL265" s="18"/>
      <c r="GM265" s="18"/>
      <c r="GN265" s="18"/>
      <c r="GO265" s="18"/>
      <c r="GP265" s="18"/>
    </row>
    <row r="266" spans="1:198" ht="15.6" x14ac:dyDescent="0.3">
      <c r="A266" s="54" t="s">
        <v>54</v>
      </c>
      <c r="B266" s="223">
        <f t="shared" ref="B266" si="2111">Loa/0.3048</f>
        <v>82.020997375328079</v>
      </c>
      <c r="C266" s="55" t="s">
        <v>22</v>
      </c>
      <c r="D266" s="55"/>
      <c r="E266" s="55"/>
      <c r="F266" s="55"/>
      <c r="G266" s="56"/>
      <c r="H266" s="209"/>
      <c r="I266" s="126" t="str">
        <f>A266</f>
        <v>Eileen II</v>
      </c>
      <c r="J266" s="229"/>
      <c r="K266" s="119"/>
      <c r="L266" s="119"/>
      <c r="M266" s="95"/>
      <c r="N266" s="265"/>
      <c r="O266" s="169">
        <v>25</v>
      </c>
      <c r="P266" s="169"/>
      <c r="Q266" s="169">
        <v>48</v>
      </c>
      <c r="R266" s="169"/>
      <c r="S266" s="169"/>
      <c r="T266" s="169">
        <v>31</v>
      </c>
      <c r="U266" s="169">
        <v>107</v>
      </c>
      <c r="V266" s="169"/>
      <c r="W266" s="169"/>
      <c r="X266" s="169">
        <v>51</v>
      </c>
      <c r="Y266" s="169">
        <v>26</v>
      </c>
      <c r="Z266" s="169">
        <v>20</v>
      </c>
      <c r="AA266" s="169">
        <v>11</v>
      </c>
      <c r="AB266" s="169"/>
      <c r="AC266" s="169"/>
      <c r="AD266" s="169"/>
      <c r="AE266" s="270">
        <v>17.8</v>
      </c>
      <c r="AF266" s="296"/>
      <c r="AG266" s="377"/>
      <c r="AH266" s="296"/>
      <c r="AI266" s="377"/>
      <c r="AJ266" s="296" t="s">
        <v>240</v>
      </c>
      <c r="AK266" s="47">
        <f>VLOOKUP(AJ266,Skrogform!$1:$1048576,3,FALSE)</f>
        <v>1</v>
      </c>
      <c r="AL266" s="57">
        <v>25</v>
      </c>
      <c r="AM266" s="57">
        <v>18.5</v>
      </c>
      <c r="AN266" s="57">
        <v>5.3</v>
      </c>
      <c r="AO266" s="57">
        <v>3.45</v>
      </c>
      <c r="AP266" s="57">
        <v>70</v>
      </c>
      <c r="AQ266" s="57">
        <v>25</v>
      </c>
      <c r="AR266" s="57"/>
      <c r="AS266" s="281">
        <v>284</v>
      </c>
      <c r="AT266" s="281">
        <v>1000</v>
      </c>
      <c r="AU266" s="281">
        <f>ROUND(Depl*10,-2)</f>
        <v>700</v>
      </c>
      <c r="AV266" s="281">
        <f>ROUND(Depl*10,-2)</f>
        <v>700</v>
      </c>
      <c r="AW266" s="270">
        <f>Depl+Diesel/1000+Vann/1000</f>
        <v>71.400000000000006</v>
      </c>
      <c r="AX266" s="281"/>
      <c r="AY266" s="98">
        <f>Bredde/(Loa+Lwl)*2</f>
        <v>0.24367816091954023</v>
      </c>
      <c r="AZ266" s="98">
        <f>(Kjøl+Ballast)/Depl</f>
        <v>0.35714285714285715</v>
      </c>
      <c r="BA266" s="288">
        <f>BA$7*((Depl-Kjøl-Ballast-VektMotor/1000-VektAnnet/1000)/Loa/Lwl/Bredde)</f>
        <v>0.77666043738370139</v>
      </c>
      <c r="BB266" s="98">
        <f>BB$7*(Depl/Loa/Lwl/Lwl)</f>
        <v>0.61433142857142853</v>
      </c>
      <c r="BC266" s="178">
        <f>BC$7*(Depl/Loa/Lwl/Bredde)</f>
        <v>0.7926307277628033</v>
      </c>
      <c r="BD266" s="98">
        <f>BD$7*Bredde/(Loa+Lwl)*2</f>
        <v>0.6951378074403658</v>
      </c>
      <c r="BE266" s="98">
        <f>BE$7*(Dypg/Lwl)</f>
        <v>1.02</v>
      </c>
      <c r="BF266" s="58" t="s">
        <v>42</v>
      </c>
      <c r="BG266" s="296">
        <v>5</v>
      </c>
      <c r="BH266" s="296">
        <v>81</v>
      </c>
      <c r="BI266" s="47">
        <f t="shared" si="1903"/>
        <v>0.97805547321272501</v>
      </c>
      <c r="BJ266" s="61"/>
      <c r="BK266" s="61"/>
      <c r="BM266" s="214"/>
      <c r="BN266" s="214" t="str">
        <f>$A266</f>
        <v>Eileen II</v>
      </c>
      <c r="BO266" s="10"/>
      <c r="BP266" s="10"/>
      <c r="BQ266" s="10"/>
      <c r="BR266" s="10"/>
      <c r="BS266" s="52"/>
      <c r="BT266" s="214" t="str">
        <f>$A266</f>
        <v>Eileen II</v>
      </c>
      <c r="BU266" s="10"/>
      <c r="BV266" s="10"/>
      <c r="BW266" s="10"/>
      <c r="BX266" s="10"/>
      <c r="BY266" s="10"/>
      <c r="BZ266" s="10"/>
      <c r="CA266" s="10"/>
      <c r="CB266" s="10"/>
      <c r="CC266" s="10"/>
      <c r="CD266" s="214"/>
      <c r="CE266" s="10"/>
      <c r="CF266" s="214" t="str">
        <f>$A266</f>
        <v>Eileen II</v>
      </c>
      <c r="CG266" s="212"/>
      <c r="CH266" s="212"/>
      <c r="CI266" s="119"/>
      <c r="CJ266" s="212"/>
      <c r="CK266" s="208"/>
      <c r="CL266" s="208" t="s">
        <v>26</v>
      </c>
      <c r="CM266" s="110" t="str">
        <f t="shared" si="1772"/>
        <v>-</v>
      </c>
      <c r="CN266" s="64" t="str">
        <f>IF(SeilBeregnet=0,"-",(SeilBeregnet)^(1/2)*StHfaktor/(Depl+DeplTillegg/1000+Vann/1000+Diesel/1000*0.84)^(1/3))</f>
        <v>-</v>
      </c>
      <c r="CO266" s="64" t="str">
        <f t="shared" si="1759"/>
        <v>-</v>
      </c>
      <c r="CP266" s="64" t="str">
        <f t="shared" si="1760"/>
        <v>-</v>
      </c>
      <c r="CQ266" s="110" t="str">
        <f t="shared" si="1761"/>
        <v>-</v>
      </c>
      <c r="CR266" s="172">
        <f t="shared" ref="CR266:CR271" si="2112">IF(CS266=0,"-",IF(CH266="TBF","-",CR$7*CS266))</f>
        <v>1.2216470588235295</v>
      </c>
      <c r="CS266" s="162">
        <v>1.18</v>
      </c>
      <c r="CT266" s="172" t="str">
        <f t="shared" ref="CT266:CT271" si="2113">IF(CU266=0,"-",IF(CL266="TBF","-",CT$7*CU266))</f>
        <v>-</v>
      </c>
      <c r="CU266" s="164">
        <v>1.39</v>
      </c>
      <c r="CV266" s="195" t="s">
        <v>145</v>
      </c>
      <c r="CW266" s="30" t="s">
        <v>26</v>
      </c>
      <c r="CX266" s="30" t="s">
        <v>26</v>
      </c>
      <c r="CY266" s="30" t="s">
        <v>26</v>
      </c>
      <c r="CZ266" s="153">
        <v>2022</v>
      </c>
      <c r="DA266" s="64" t="str">
        <f t="shared" si="1951"/>
        <v>-</v>
      </c>
      <c r="DB266" s="49">
        <f t="shared" si="1904"/>
        <v>13.911290322580646</v>
      </c>
      <c r="DC266" s="171"/>
      <c r="DE266" s="110" t="str">
        <f>IF(SeilBeregnet=0,"-",DE$7*(DG:DG+DE$6)*DL:DL*PropF+ErfaringsF+Dyp_F)</f>
        <v>-</v>
      </c>
      <c r="DF266" s="144" t="str">
        <f t="shared" ref="DF266:DF271" si="2114">IF($DQ266=0,"-",(DE266-$DO266)*100)</f>
        <v>-</v>
      </c>
      <c r="DG266" s="110" t="e">
        <f t="shared" ref="DG266:DG271" si="2115">SUM(DH266:DK266)^DG$3+DG$7</f>
        <v>#REF!</v>
      </c>
      <c r="DH266" s="136" t="e">
        <f>IF(SeilBeregnet=0,DH236,(SeilBeregnet^0.5/(Depl^0.3333))^DH$3*DH$7)</f>
        <v>#REF!</v>
      </c>
      <c r="DI266" s="136" t="e">
        <f>IF(SeilBeregnet=0,DI236,(SeilBeregnet^0.5/Lwl)^DI$3*DI$7)</f>
        <v>#REF!</v>
      </c>
      <c r="DJ266" s="136" t="e">
        <f>IF(SeilBeregnet=0,DJ236,(0.1*Loa/Depl^0.3333)^DJ$3*DJ$7)</f>
        <v>#REF!</v>
      </c>
      <c r="DK266" s="136" t="e">
        <f>IF(SeilBeregnet=0,DK236,((Loa)/Bredde)^DK$3*DK$7)</f>
        <v>#REF!</v>
      </c>
      <c r="DL266" s="110" t="e">
        <f>IF(SeilBeregnet=0,DL236,(Lwl)^DL$3)</f>
        <v>#REF!</v>
      </c>
      <c r="DM266" s="136" t="e">
        <f>IF(SeilBeregnet=0,DM236,(Dypg/Loa)^DM$3*5*DM$7)</f>
        <v>#REF!</v>
      </c>
      <c r="DO266" s="110" t="str">
        <f t="shared" si="733"/>
        <v>-</v>
      </c>
      <c r="DP266" s="110" t="str">
        <f t="shared" si="1952"/>
        <v>-</v>
      </c>
      <c r="DR266" s="110" t="str">
        <f t="shared" si="1953"/>
        <v>-</v>
      </c>
      <c r="DS266" s="125" t="str">
        <f t="shared" ref="DS266:DS271" si="2116">IF($DQ266=0,"-",DR266-$DO266)</f>
        <v>-</v>
      </c>
      <c r="DT266" s="110" t="str">
        <f t="shared" ref="DT266:DT271" si="2117">IF(SeilBeregnet=0,"-",DT$7*(DT$4*DV266*DW266*DX266*PropF+DT$6)+ErfaringsF+Dyp_F)</f>
        <v>-</v>
      </c>
      <c r="DU266" s="125" t="str">
        <f t="shared" ref="DU266:DU271" si="2118">IF($DQ266=0,"-",DT266-$DO266)</f>
        <v>-</v>
      </c>
      <c r="DV266" s="110">
        <f>IF(SeilBeregnet=0,DV236,SeilBeregnet^0.5/Depl^0.33333)</f>
        <v>2.8519960188969775</v>
      </c>
      <c r="DW266" s="110">
        <f>IF(SeilBeregnet=0,DW236,Lwl^0.3333)</f>
        <v>2.6797900088404343</v>
      </c>
      <c r="DX266" s="110">
        <f>IF(SeilBeregnet=0,DX236,((Loa+Lwl)/Bredde)^DX$3)</f>
        <v>1.7695233609798884</v>
      </c>
      <c r="DZ266" s="110" t="str">
        <f t="shared" ref="DZ266:DZ271" si="2119">IF(SeilBeregnet=0,"-",DZ$7*(DZ$4*EB266*EC266*ED266*PropF+DZ$6)+ErfaringsF+Dyp_F)</f>
        <v>-</v>
      </c>
      <c r="EB266" s="110">
        <f>IF(SeilBeregnet=0,EB236,SeilBeregnet^0.5/Depl^0.33333)</f>
        <v>2.8519960188969775</v>
      </c>
      <c r="EC266" s="110">
        <f>IF(SeilBeregnet=0,EC236,Lwl^EC$3)</f>
        <v>2.6800277846463949</v>
      </c>
      <c r="ED266" s="110">
        <f>IF(SeilBeregnet=0,ED236,((Loa+Lwl)/Bredde)^ED$3)</f>
        <v>2.1401391899601916</v>
      </c>
      <c r="EE266" s="110" t="str">
        <f t="shared" ref="EE266:EE271" si="2120">IF(SeilBeregnet=0,"-",EE$7*(EE$4*EG266+EE$6)*EJ266*PropF+ErfaringsF+Dyp_F)</f>
        <v>-</v>
      </c>
      <c r="EG266" s="110">
        <f>IF(SeilBeregnet=0,EG236,(EH266*EI266)^EG$3)</f>
        <v>5.0466735808598413</v>
      </c>
      <c r="EH266" s="110">
        <f>IF(SeilBeregnet=0,EH236,SeilBeregnet^0.5/Depl^0.33333)</f>
        <v>2.8519960188969775</v>
      </c>
      <c r="EI266" s="110">
        <f>IF(SeilBeregnet=0,EI236,((Loa+Lwl)/Bredde)^EI$3)</f>
        <v>1.7695233609798884</v>
      </c>
      <c r="EJ266" s="110">
        <f>IF(SeilBeregnet=0,EJ236,Lwl^EJ$3)</f>
        <v>2.0946317561079946</v>
      </c>
      <c r="EK266" s="110" t="str">
        <f>IF(SeilBeregnet=0,"-",EK$7*(EK$4*EM:EM+EK$6)*EP:EP*PropF+ErfaringsF+Dyp_F)</f>
        <v>-</v>
      </c>
      <c r="EM266" s="110">
        <f>IF(SeilBeregnet=0,EM236,(EN:EN*EO:EO)^EM$3)</f>
        <v>1.7956996641622001</v>
      </c>
      <c r="EN266" s="110">
        <f>IF(SeilBeregnet=0,EN236,SeilBeregnet^0.5/Depl^0.33333)</f>
        <v>2.8519960188969775</v>
      </c>
      <c r="EO266" s="110">
        <f>IF(SeilBeregnet=0,EO236,((Loa+Lwl)/Bredde/6)^EO$3)</f>
        <v>1.1306247493007873</v>
      </c>
      <c r="EP266" s="110">
        <f>IF(SeilBeregnet=0,EP236,(Lwl*0.7+Loa*0.3)^EP$3)</f>
        <v>2.1352975404230423</v>
      </c>
      <c r="EQ266" s="110" t="str">
        <f>IF(SeilBeregnet=0,"-",EQ$7*(ES:ES+EQ$6)*EV:EV*PropF+ErfaringsF+Dyp_F)</f>
        <v>-</v>
      </c>
      <c r="ES266" s="110">
        <f>(ET:ET*EU:EU)^ES$3</f>
        <v>1.7958141031308024</v>
      </c>
      <c r="ET266" s="110">
        <f>IF(SeilBeregnet=0,ET236,SeilBeregnet^0.5/Depl^0.3333)</f>
        <v>2.8523595428084287</v>
      </c>
      <c r="EU266" s="110">
        <f>IF(SeilBeregnet=0,EU236,((Loa+Lwl)/Bredde/6)^EU$3)</f>
        <v>1.1306247493007873</v>
      </c>
      <c r="EV266" s="110">
        <f>IF(SeilBeregnet=0,EV236,(Lwl*0.7+Loa*0.3)^EV$3)</f>
        <v>2.1352975404230423</v>
      </c>
      <c r="EW266" s="110" t="str">
        <f>IF(SeilBeregnet=0,"-",EW$7*(EY:EY+EW$6)*FB:FB*PropF+ErfaringsF+Dyp_F)</f>
        <v>-</v>
      </c>
      <c r="EX266" s="144" t="str">
        <f t="shared" ref="EX266:EX271" si="2121">IF($DQ266=0,"-",(EW266-$DO266)*100)</f>
        <v>-</v>
      </c>
      <c r="EY266" s="110">
        <f>(EZ:EZ*FA:FA)^EY$3</f>
        <v>3.6462063552850696</v>
      </c>
      <c r="EZ266" s="136">
        <f>IF(SeilBeregnet=0,EZ236,(SeilBeregnet^0.5/(Depl^0.3333))^EZ$3)</f>
        <v>2.8523595428084287</v>
      </c>
      <c r="FA266" s="136">
        <f>IF(SeilBeregnet=0,FA236,((Loa+Lwl)/Bredde/6)^FA$3)</f>
        <v>1.2783123237314677</v>
      </c>
      <c r="FB266" s="110">
        <f>IF(SeilBeregnet=0,FB236,(Lwl*0.07+Loa*0.03)^FB$3)</f>
        <v>1.2007660485571867</v>
      </c>
      <c r="FC266" s="110" t="str">
        <f>IF(SeilBeregnet=0,"-",FC$7*(FE:FE+FC$6)*FI:FI*PropF+ErfaringsF+Dyp_F)</f>
        <v>-</v>
      </c>
      <c r="FD266" s="144" t="str">
        <f t="shared" ref="FD266:FD271" si="2122">IF($DQ266=0,"-",(FC266-$DO266)*100)</f>
        <v>-</v>
      </c>
      <c r="FE266" s="110">
        <f>(FF:FF+FG:FG+FH:FH)^FE$3+FE$7</f>
        <v>5.3035945248590828</v>
      </c>
      <c r="FF266" s="136">
        <f>IF(SeilBeregnet=0,FF236,(SeilBeregnet^0.5/(Depl^0.3333))^FF$3)</f>
        <v>2.8523595428084287</v>
      </c>
      <c r="FG266" s="136">
        <f>IF(SeilBeregnet=0,FG236,(SeilBeregnet^0.5/Lwl*FG$7)^FG$3)</f>
        <v>0.61058300335043325</v>
      </c>
      <c r="FH266" s="136">
        <f>IF(SeilBeregnet=0,FH236,((Loa)/Bredde)^FH$3*FH$7)</f>
        <v>2.3406519787002207</v>
      </c>
      <c r="FI266" s="110">
        <f>IF(SeilBeregnet=0,FI236,(Lwl)^FI$3)</f>
        <v>2.0946317561079946</v>
      </c>
      <c r="FJ266" s="110" t="str">
        <f>IF(SeilBeregnet=0,"-",FJ$7*(FL:FL+FJ$6)*FO:FO*PropF+ErfaringsF+Dyp_F)</f>
        <v>-</v>
      </c>
      <c r="FK266" s="144" t="str">
        <f t="shared" ref="FK266:FK271" si="2123">IF($DQ266=0,"-",(FJ266-$DO266)*100)</f>
        <v>-</v>
      </c>
      <c r="FL266" s="110">
        <f>(FM:FM*FN:FN)^FL$3</f>
        <v>6.6763810078390051</v>
      </c>
      <c r="FM266" s="136">
        <f>IF(SeilBeregnet=0,FM236,(SeilBeregnet^0.5/(Depl^0.3333))^FM$3)</f>
        <v>2.8523595428084287</v>
      </c>
      <c r="FN266" s="136">
        <f>IF(SeilBeregnet=0,FN236,(Loa/Bredde)^FN$3)</f>
        <v>2.3406519787002207</v>
      </c>
      <c r="FO266" s="110">
        <f>IF(SeilBeregnet=0,FO236,Lwl^FO$3)</f>
        <v>2.0946317561079946</v>
      </c>
      <c r="FQ266" s="374">
        <v>1</v>
      </c>
      <c r="FR266" s="64" t="str">
        <f t="shared" ref="FR266:FR271" si="2124">IF(SeilBeregnet=0,"-",0.06*2.43^(1/2)*(SeilBeregnet^(1/2)/Depl^(1/3)+(Loa/Bredde)^(1/2)+5*(Dypg/Loa)^(1/2))*Lwl^(1/4)*FQ266)</f>
        <v>-</v>
      </c>
      <c r="FS266" s="480">
        <v>39</v>
      </c>
      <c r="FT266" s="59"/>
      <c r="FU266" s="475"/>
      <c r="FV266" s="77"/>
      <c r="FW266" s="59"/>
      <c r="FX266" s="59"/>
      <c r="FY266" s="59"/>
      <c r="FZ266" s="59"/>
      <c r="GB266" s="59" t="s">
        <v>522</v>
      </c>
      <c r="GC266" s="475" t="s">
        <v>522</v>
      </c>
      <c r="GD266" s="60" t="s">
        <v>522</v>
      </c>
      <c r="GE266" s="60" t="s">
        <v>522</v>
      </c>
      <c r="GF266" s="60" t="s">
        <v>522</v>
      </c>
      <c r="GG266" s="60" t="s">
        <v>522</v>
      </c>
      <c r="GI266" s="59"/>
      <c r="GJ266" s="59"/>
      <c r="GK266" s="59"/>
      <c r="GL266" s="59"/>
      <c r="GM266" s="59"/>
      <c r="GN266" s="59"/>
      <c r="GO266" s="59"/>
      <c r="GP266" s="59"/>
    </row>
    <row r="267" spans="1:198" ht="15.6" x14ac:dyDescent="0.3">
      <c r="A267" s="62" t="s">
        <v>156</v>
      </c>
      <c r="B267" s="223"/>
      <c r="C267" s="63" t="str">
        <f>C266</f>
        <v>Gaffel</v>
      </c>
      <c r="D267" s="63"/>
      <c r="E267" s="63"/>
      <c r="F267" s="63"/>
      <c r="G267" s="56"/>
      <c r="H267" s="209">
        <f>TBFavrundet</f>
        <v>119</v>
      </c>
      <c r="I267" s="65">
        <f>COUNTA(O267:AD267)</f>
        <v>7</v>
      </c>
      <c r="J267" s="228">
        <f>SUM(O267:AD267)</f>
        <v>299</v>
      </c>
      <c r="K267" s="119">
        <f>Seilareal/Depl^0.667/K$7</f>
        <v>1.6072896813792066</v>
      </c>
      <c r="L267" s="119">
        <f>Seilareal/Lwl/Lwl/L$7</f>
        <v>1.3255762224352827</v>
      </c>
      <c r="M267" s="95">
        <f>RiggF</f>
        <v>0.70501672240802682</v>
      </c>
      <c r="N267" s="265">
        <f>StHfaktor</f>
        <v>0.99519007058976183</v>
      </c>
      <c r="O267" s="169">
        <v>25</v>
      </c>
      <c r="P267" s="147"/>
      <c r="Q267" s="169">
        <v>48</v>
      </c>
      <c r="R267" s="147"/>
      <c r="S267" s="147"/>
      <c r="T267" s="169">
        <v>31</v>
      </c>
      <c r="U267" s="169">
        <v>107</v>
      </c>
      <c r="V267" s="148"/>
      <c r="W267" s="148"/>
      <c r="X267" s="169">
        <v>51</v>
      </c>
      <c r="Y267" s="169">
        <v>26</v>
      </c>
      <c r="Z267" s="147"/>
      <c r="AA267" s="169">
        <v>11</v>
      </c>
      <c r="AB267" s="147"/>
      <c r="AC267" s="147"/>
      <c r="AD267" s="148"/>
      <c r="AE267" s="260">
        <f t="shared" ref="AE267:AE271" si="2125">AE266</f>
        <v>17.8</v>
      </c>
      <c r="AF267" s="375">
        <f t="shared" ref="AF267:AH271" si="2126" xml:space="preserve"> AF266</f>
        <v>0</v>
      </c>
      <c r="AG267" s="377"/>
      <c r="AH267" s="375">
        <f t="shared" si="2126"/>
        <v>0</v>
      </c>
      <c r="AI267" s="377"/>
      <c r="AJ267" s="295" t="str">
        <f t="shared" ref="AJ267" si="2127" xml:space="preserve"> AJ266</f>
        <v>Meter</v>
      </c>
      <c r="AK267" s="47">
        <f>VLOOKUP(AJ267,Skrogform!$1:$1048576,3,FALSE)</f>
        <v>1</v>
      </c>
      <c r="AL267" s="66">
        <f t="shared" ref="AL267:AT267" si="2128">AL266</f>
        <v>25</v>
      </c>
      <c r="AM267" s="66">
        <f t="shared" si="2128"/>
        <v>18.5</v>
      </c>
      <c r="AN267" s="66">
        <f t="shared" si="2128"/>
        <v>5.3</v>
      </c>
      <c r="AO267" s="66">
        <f t="shared" si="2128"/>
        <v>3.45</v>
      </c>
      <c r="AP267" s="66">
        <f t="shared" si="2128"/>
        <v>70</v>
      </c>
      <c r="AQ267" s="66">
        <f t="shared" si="2128"/>
        <v>25</v>
      </c>
      <c r="AR267" s="66">
        <f t="shared" si="2128"/>
        <v>0</v>
      </c>
      <c r="AS267" s="284">
        <f t="shared" si="2128"/>
        <v>284</v>
      </c>
      <c r="AT267" s="284">
        <f t="shared" si="2128"/>
        <v>1000</v>
      </c>
      <c r="AU267" s="284">
        <f t="shared" ref="AU267:AV267" si="2129">AU266</f>
        <v>700</v>
      </c>
      <c r="AV267" s="284">
        <f t="shared" si="2129"/>
        <v>700</v>
      </c>
      <c r="AW267" s="284"/>
      <c r="AX267" s="284">
        <f>AX266</f>
        <v>0</v>
      </c>
      <c r="AY267" s="68"/>
      <c r="AZ267" s="68"/>
      <c r="BA267" s="289"/>
      <c r="BB267" s="68"/>
      <c r="BC267" s="179"/>
      <c r="BD267" s="68"/>
      <c r="BE267" s="68"/>
      <c r="BF267" s="67" t="str">
        <f t="shared" ref="BF267:BH267" si="2130" xml:space="preserve"> BF266</f>
        <v>Fast</v>
      </c>
      <c r="BG267" s="295">
        <f t="shared" si="2130"/>
        <v>5</v>
      </c>
      <c r="BH267" s="295">
        <f t="shared" si="2130"/>
        <v>81</v>
      </c>
      <c r="BI267" s="47">
        <f t="shared" si="1903"/>
        <v>0.97805547321272501</v>
      </c>
      <c r="BJ267" s="61"/>
      <c r="BK267" s="61"/>
      <c r="BM267" s="51">
        <f t="shared" ref="BM267:BR271" si="2131">IF(O267=0,0,O267*BM$9)</f>
        <v>7.5</v>
      </c>
      <c r="BN267" s="51">
        <f t="shared" si="2131"/>
        <v>0</v>
      </c>
      <c r="BO267" s="51">
        <f t="shared" si="2131"/>
        <v>48</v>
      </c>
      <c r="BP267" s="51">
        <f t="shared" si="2131"/>
        <v>0</v>
      </c>
      <c r="BQ267" s="51">
        <f t="shared" si="2131"/>
        <v>0</v>
      </c>
      <c r="BR267" s="51">
        <f t="shared" si="2131"/>
        <v>31</v>
      </c>
      <c r="BS267" s="52">
        <f>IF(COUNT(P267:T267)&gt;1,MINA(P267:T267)*BS$9,0)</f>
        <v>-9.2999999999999989</v>
      </c>
      <c r="BT267" s="88">
        <f t="shared" ref="BT267:CC271" si="2132">IF(U267=0,0,U267*BT$9)</f>
        <v>85.600000000000009</v>
      </c>
      <c r="BU267" s="88">
        <f t="shared" si="2132"/>
        <v>0</v>
      </c>
      <c r="BV267" s="88">
        <f t="shared" si="2132"/>
        <v>0</v>
      </c>
      <c r="BW267" s="88">
        <f t="shared" si="2132"/>
        <v>30.599999999999998</v>
      </c>
      <c r="BX267" s="88">
        <f t="shared" si="2132"/>
        <v>13</v>
      </c>
      <c r="BY267" s="88">
        <f t="shared" si="2132"/>
        <v>0</v>
      </c>
      <c r="BZ267" s="88">
        <f t="shared" si="2132"/>
        <v>4.4000000000000004</v>
      </c>
      <c r="CA267" s="88">
        <f t="shared" si="2132"/>
        <v>0</v>
      </c>
      <c r="CB267" s="88">
        <f t="shared" si="2132"/>
        <v>0</v>
      </c>
      <c r="CC267" s="88">
        <f t="shared" si="2132"/>
        <v>0</v>
      </c>
      <c r="CD267" s="103">
        <f>SUM(BM267:CC267)</f>
        <v>210.8</v>
      </c>
      <c r="CE267" s="52"/>
      <c r="CF267" s="107">
        <f>J267</f>
        <v>299</v>
      </c>
      <c r="CG267" s="104">
        <f>CD267/CF267</f>
        <v>0.70501672240802682</v>
      </c>
      <c r="CH267" s="53">
        <f>Seilareal/Lwl/Lwl</f>
        <v>0.87363038714390062</v>
      </c>
      <c r="CI267" s="119">
        <f>Seilareal/Depl^0.667/K$7</f>
        <v>1.6072896813792066</v>
      </c>
      <c r="CJ267" s="53">
        <f>Seilareal/Lwl/Lwl/SApRS1</f>
        <v>1.3255762224352827</v>
      </c>
      <c r="CK267" s="209"/>
      <c r="CL267" s="209">
        <f>(ROUND(TBF/CL$6,3)*CL$6)*CL$4</f>
        <v>119</v>
      </c>
      <c r="CM267" s="110">
        <f t="shared" si="1772"/>
        <v>1.1897102805870079</v>
      </c>
      <c r="CN267" s="64">
        <f>IF(SeilBeregnet=0,"-",(SeilBeregnet)^(1/2)*StHfaktor/(Depl+DeplTillegg/1000+Vann/1000+Diesel/1000*0.84)^(1/3))</f>
        <v>3.481477732754461</v>
      </c>
      <c r="CO267" s="64">
        <f t="shared" si="1759"/>
        <v>2.0257772791957316</v>
      </c>
      <c r="CP267" s="64">
        <f t="shared" si="1760"/>
        <v>2.0739244522212745</v>
      </c>
      <c r="CQ267" s="110">
        <f t="shared" si="1761"/>
        <v>0.99519007058976183</v>
      </c>
      <c r="CR267" s="172">
        <f t="shared" si="2112"/>
        <v>1.2216470588235295</v>
      </c>
      <c r="CS267" s="163">
        <f>CS266</f>
        <v>1.18</v>
      </c>
      <c r="CT267" s="172">
        <f t="shared" si="2113"/>
        <v>1.0729824561403509</v>
      </c>
      <c r="CU267" s="163">
        <f>CU266</f>
        <v>1.39</v>
      </c>
      <c r="CV267" s="195" t="s">
        <v>145</v>
      </c>
      <c r="CW267" s="64">
        <v>1.21</v>
      </c>
      <c r="CX267" s="64">
        <v>1.07</v>
      </c>
      <c r="CY267" s="64">
        <v>1.1499999999999999</v>
      </c>
      <c r="CZ267" s="154">
        <v>1.22</v>
      </c>
      <c r="DA267" s="64">
        <f t="shared" si="1951"/>
        <v>2.0384666167167156</v>
      </c>
      <c r="DB267" s="49">
        <f t="shared" si="1904"/>
        <v>13.911290322580646</v>
      </c>
      <c r="DC267" s="171"/>
      <c r="DE267" s="110">
        <f>IF(SeilBeregnet=0,"-",DE$7*(DG:DG+DE$6)*DL:DL*PropF+ErfaringsF+Dyp_F)</f>
        <v>1.166790240853657</v>
      </c>
      <c r="DF267" s="144" t="str">
        <f t="shared" si="2114"/>
        <v>-</v>
      </c>
      <c r="DG267" s="110">
        <f t="shared" si="2115"/>
        <v>5.6952788718989229</v>
      </c>
      <c r="DH267" s="136">
        <f>IF(SeilBeregnet=0,DH266,(SeilBeregnet^0.5/(Depl^0.3333))^DH$3*DH$7)</f>
        <v>3.5234176580835763</v>
      </c>
      <c r="DI267" s="136">
        <f>IF(SeilBeregnet=0,DI266,(SeilBeregnet^0.5/Lwl)^DI$3*DI$7)</f>
        <v>0</v>
      </c>
      <c r="DJ267" s="136">
        <f>IF(SeilBeregnet=0,DJ266,(0.1*Loa/Depl^0.3333)^DJ$3*DJ$7)</f>
        <v>0</v>
      </c>
      <c r="DK267" s="136">
        <f>IF(SeilBeregnet=0,DK266,((Loa)/Bredde)^DK$3*DK$7)</f>
        <v>2.171861213815347</v>
      </c>
      <c r="DL267" s="110">
        <f>IF(SeilBeregnet=0,DL266,(Lwl)^DL$3)</f>
        <v>2.0739244522212745</v>
      </c>
      <c r="DM267" s="136">
        <f>IF(SeilBeregnet=0,DM266,(Dypg/Loa)^DM$3*5*DM$7)</f>
        <v>1.8574175621006712</v>
      </c>
      <c r="DO267" s="110">
        <f t="shared" si="733"/>
        <v>1.1897102805870079</v>
      </c>
      <c r="DP267" s="110">
        <f t="shared" si="1952"/>
        <v>1.1573145505399141</v>
      </c>
      <c r="DR267" s="110">
        <f t="shared" si="1953"/>
        <v>1.1562549386542982</v>
      </c>
      <c r="DS267" s="125" t="str">
        <f t="shared" si="2116"/>
        <v>-</v>
      </c>
      <c r="DT267" s="110">
        <f t="shared" si="2117"/>
        <v>1.1921218692777003</v>
      </c>
      <c r="DU267" s="125" t="str">
        <f t="shared" si="2118"/>
        <v>-</v>
      </c>
      <c r="DV267" s="110">
        <f>IF(SeilBeregnet=0,DV266,SeilBeregnet^0.5/Depl^0.33333)</f>
        <v>3.522968610006179</v>
      </c>
      <c r="DW267" s="110">
        <f>IF(SeilBeregnet=0,DW266,Lwl^0.3333)</f>
        <v>2.6445290195265336</v>
      </c>
      <c r="DX267" s="110">
        <f>IF(SeilBeregnet=0,DX266,((Loa+Lwl)/Bredde)^DX$3)</f>
        <v>1.6925961427894936</v>
      </c>
      <c r="DZ267" s="110">
        <f t="shared" si="2119"/>
        <v>1.1870992132405112</v>
      </c>
      <c r="EB267" s="110">
        <f>IF(SeilBeregnet=0,EB266,SeilBeregnet^0.5/Depl^0.33333)</f>
        <v>3.522968610006179</v>
      </c>
      <c r="EC267" s="110">
        <f>IF(SeilBeregnet=0,EC266,Lwl^EC$3)</f>
        <v>2.6447605135392824</v>
      </c>
      <c r="ED267" s="110">
        <f>IF(SeilBeregnet=0,ED266,((Loa+Lwl)/Bredde)^ED$3)</f>
        <v>2.017006612549411</v>
      </c>
      <c r="EE267" s="110">
        <f t="shared" si="2120"/>
        <v>1.1628517291312754</v>
      </c>
      <c r="EG267" s="110">
        <f>IF(SeilBeregnet=0,EG266,(EH267*EI267)^EG$3)</f>
        <v>5.9629630804649221</v>
      </c>
      <c r="EH267" s="110">
        <f>IF(SeilBeregnet=0,EH266,SeilBeregnet^0.5/Depl^0.33333)</f>
        <v>3.522968610006179</v>
      </c>
      <c r="EI267" s="110">
        <f>IF(SeilBeregnet=0,EI266,((Loa+Lwl)/Bredde)^EI$3)</f>
        <v>1.6925961427894936</v>
      </c>
      <c r="EJ267" s="110">
        <f>IF(SeilBeregnet=0,EJ266,Lwl^EJ$3)</f>
        <v>2.0739244522212745</v>
      </c>
      <c r="EK267" s="110">
        <f>IF(SeilBeregnet=0,"-",EK$7*(EK$4*EM:EM+EK$6)*EP:EP*PropF+ErfaringsF+Dyp_F)</f>
        <v>1.1724817266616037</v>
      </c>
      <c r="EM267" s="110">
        <f>IF(SeilBeregnet=0,EM266,(EN:EN*EO:EO)^EM$3)</f>
        <v>1.951920628800816</v>
      </c>
      <c r="EN267" s="110">
        <f>IF(SeilBeregnet=0,EN266,SeilBeregnet^0.5/Depl^0.33333)</f>
        <v>3.522968610006179</v>
      </c>
      <c r="EO267" s="110">
        <f>IF(SeilBeregnet=0,EO266,((Loa+Lwl)/Bredde/6)^EO$3)</f>
        <v>1.081472633709186</v>
      </c>
      <c r="EP267" s="110">
        <f>IF(SeilBeregnet=0,EP266,(Lwl*0.7+Loa*0.3)^EP$3)</f>
        <v>2.1265388832179877</v>
      </c>
      <c r="EQ267" s="110">
        <f>IF(SeilBeregnet=0,"-",EQ$7*(ES:ES+EQ$6)*EV:EV*PropF+ErfaringsF+Dyp_F)</f>
        <v>1.110975825474068</v>
      </c>
      <c r="ES267" s="110">
        <f>(ET:ET*EU:EU)^ES$3</f>
        <v>1.9520450236470206</v>
      </c>
      <c r="ET267" s="110">
        <f>IF(SeilBeregnet=0,ET266,SeilBeregnet^0.5/Depl^0.3333)</f>
        <v>3.5234176580835763</v>
      </c>
      <c r="EU267" s="110">
        <f>IF(SeilBeregnet=0,EU266,((Loa+Lwl)/Bredde/6)^EU$3)</f>
        <v>1.081472633709186</v>
      </c>
      <c r="EV267" s="110">
        <f>IF(SeilBeregnet=0,EV266,(Lwl*0.7+Loa*0.3)^EV$3)</f>
        <v>2.1265388832179877</v>
      </c>
      <c r="EW267" s="110">
        <f>IF(SeilBeregnet=0,"-",EW$7*(EY:EY+EW$6)*FB:FB*PropF+ErfaringsF+Dyp_F)</f>
        <v>1.2241941801006999</v>
      </c>
      <c r="EX267" s="144" t="str">
        <f t="shared" si="2121"/>
        <v>-</v>
      </c>
      <c r="EY267" s="110">
        <f>(EZ:EZ*FA:FA)^EY$3</f>
        <v>4.1209295972565778</v>
      </c>
      <c r="EZ267" s="136">
        <f>IF(SeilBeregnet=0,EZ266,(SeilBeregnet^0.5/(Depl^0.3333))^EZ$3)</f>
        <v>3.5234176580835763</v>
      </c>
      <c r="FA267" s="136">
        <f>IF(SeilBeregnet=0,FA266,((Loa+Lwl)/Bredde/6)^FA$3)</f>
        <v>1.1695830574618833</v>
      </c>
      <c r="FB267" s="110">
        <f>IF(SeilBeregnet=0,FB266,(Lwl*0.07+Loa*0.03)^FB$3)</f>
        <v>1.195840693657608</v>
      </c>
      <c r="FC267" s="110">
        <f>IF(SeilBeregnet=0,"-",FC$7*(FE:FE+FC$6)*FI:FI*PropF+ErfaringsF+Dyp_F)</f>
        <v>1.1644883981306806</v>
      </c>
      <c r="FD267" s="144" t="str">
        <f t="shared" si="2122"/>
        <v>-</v>
      </c>
      <c r="FE267" s="110">
        <f>(FF:FF+FG:FG+FH:FH)^FE$3+FE$7</f>
        <v>5.9800871492127197</v>
      </c>
      <c r="FF267" s="136">
        <f>IF(SeilBeregnet=0,FF266,(SeilBeregnet^0.5/(Depl^0.3333))^FF$3)</f>
        <v>3.5234176580835763</v>
      </c>
      <c r="FG267" s="136">
        <f>IF(SeilBeregnet=0,FG266,(SeilBeregnet^0.5/Lwl*FG$7)^FG$3)</f>
        <v>0.78480827731379621</v>
      </c>
      <c r="FH267" s="136">
        <f>IF(SeilBeregnet=0,FH266,((Loa)/Bredde)^FH$3*FH$7)</f>
        <v>2.171861213815347</v>
      </c>
      <c r="FI267" s="110">
        <f>IF(SeilBeregnet=0,FI266,(Lwl)^FI$3)</f>
        <v>2.0739244522212745</v>
      </c>
      <c r="FJ267" s="110">
        <f>IF(SeilBeregnet=0,"-",FJ$7*(FL:FL+FJ$6)*FO:FO*PropF+ErfaringsF+Dyp_F)</f>
        <v>1.229063112796758</v>
      </c>
      <c r="FK267" s="144" t="str">
        <f t="shared" si="2123"/>
        <v>-</v>
      </c>
      <c r="FL267" s="110">
        <f>(FM:FM*FN:FN)^FL$3</f>
        <v>7.6523741516638237</v>
      </c>
      <c r="FM267" s="136">
        <f>IF(SeilBeregnet=0,FM266,(SeilBeregnet^0.5/(Depl^0.3333))^FM$3)</f>
        <v>3.5234176580835763</v>
      </c>
      <c r="FN267" s="136">
        <f>IF(SeilBeregnet=0,FN266,(Loa/Bredde)^FN$3)</f>
        <v>2.171861213815347</v>
      </c>
      <c r="FO267" s="110">
        <f>IF(SeilBeregnet=0,FO266,Lwl^FO$3)</f>
        <v>2.0739244522212745</v>
      </c>
      <c r="FQ267" s="374">
        <v>1</v>
      </c>
      <c r="FR267" s="64">
        <f t="shared" si="2124"/>
        <v>1.4649427670104633</v>
      </c>
      <c r="FS267" s="479"/>
      <c r="FT267" s="18"/>
      <c r="FU267" s="481"/>
      <c r="FV267" s="504"/>
      <c r="FW267" s="18"/>
      <c r="FX267" s="18"/>
      <c r="FY267" s="18"/>
      <c r="FZ267" s="18"/>
      <c r="GB267" s="18"/>
      <c r="GC267" s="481"/>
      <c r="GD267" s="8"/>
      <c r="GE267" s="8"/>
      <c r="GF267" s="8"/>
      <c r="GG267" s="8"/>
      <c r="GI267" s="18"/>
      <c r="GJ267" s="18"/>
      <c r="GK267" s="18"/>
      <c r="GL267" s="18"/>
      <c r="GM267" s="18"/>
      <c r="GN267" s="18"/>
      <c r="GO267" s="18"/>
      <c r="GP267" s="18"/>
    </row>
    <row r="268" spans="1:198" ht="15.6" x14ac:dyDescent="0.3">
      <c r="A268" s="62" t="s">
        <v>155</v>
      </c>
      <c r="B268" s="223"/>
      <c r="C268" s="63" t="str">
        <f t="shared" ref="C268:C271" si="2133">C267</f>
        <v>Gaffel</v>
      </c>
      <c r="D268" s="63"/>
      <c r="E268" s="63"/>
      <c r="F268" s="63"/>
      <c r="G268" s="56"/>
      <c r="H268" s="209">
        <f>TBFavrundet</f>
        <v>117.49999999999999</v>
      </c>
      <c r="I268" s="65">
        <f>COUNTA(O268:AD268)</f>
        <v>6</v>
      </c>
      <c r="J268" s="228">
        <f>SUM(O268:AD268)</f>
        <v>274</v>
      </c>
      <c r="K268" s="119">
        <f>Seilareal/Depl^0.667/K$7</f>
        <v>1.4729009120331189</v>
      </c>
      <c r="L268" s="119">
        <f>Seilareal/Lwl/Lwl/L$7</f>
        <v>1.2147420901246402</v>
      </c>
      <c r="M268" s="95">
        <f>RiggF</f>
        <v>0.74197080291970807</v>
      </c>
      <c r="N268" s="265">
        <f>StHfaktor</f>
        <v>0.99519007058976183</v>
      </c>
      <c r="O268" s="147"/>
      <c r="P268" s="147"/>
      <c r="Q268" s="169">
        <v>48</v>
      </c>
      <c r="R268" s="147"/>
      <c r="S268" s="147"/>
      <c r="T268" s="169">
        <v>31</v>
      </c>
      <c r="U268" s="169">
        <v>107</v>
      </c>
      <c r="V268" s="148"/>
      <c r="W268" s="148"/>
      <c r="X268" s="169">
        <v>51</v>
      </c>
      <c r="Y268" s="169">
        <v>26</v>
      </c>
      <c r="Z268" s="147"/>
      <c r="AA268" s="169">
        <v>11</v>
      </c>
      <c r="AB268" s="147"/>
      <c r="AC268" s="147"/>
      <c r="AD268" s="148"/>
      <c r="AE268" s="260">
        <f t="shared" si="2125"/>
        <v>17.8</v>
      </c>
      <c r="AF268" s="375">
        <f t="shared" si="2126"/>
        <v>0</v>
      </c>
      <c r="AG268" s="377"/>
      <c r="AH268" s="375">
        <f t="shared" si="2126"/>
        <v>0</v>
      </c>
      <c r="AI268" s="377"/>
      <c r="AJ268" s="295" t="str">
        <f t="shared" ref="AJ268" si="2134" xml:space="preserve"> AJ267</f>
        <v>Meter</v>
      </c>
      <c r="AK268" s="47">
        <f>VLOOKUP(AJ268,Skrogform!$1:$1048576,3,FALSE)</f>
        <v>1</v>
      </c>
      <c r="AL268" s="66">
        <f t="shared" ref="AL268:AT268" si="2135">AL267</f>
        <v>25</v>
      </c>
      <c r="AM268" s="66">
        <f t="shared" si="2135"/>
        <v>18.5</v>
      </c>
      <c r="AN268" s="66">
        <f t="shared" si="2135"/>
        <v>5.3</v>
      </c>
      <c r="AO268" s="66">
        <f t="shared" si="2135"/>
        <v>3.45</v>
      </c>
      <c r="AP268" s="66">
        <f t="shared" si="2135"/>
        <v>70</v>
      </c>
      <c r="AQ268" s="66">
        <f t="shared" si="2135"/>
        <v>25</v>
      </c>
      <c r="AR268" s="66">
        <f t="shared" si="2135"/>
        <v>0</v>
      </c>
      <c r="AS268" s="284">
        <f t="shared" si="2135"/>
        <v>284</v>
      </c>
      <c r="AT268" s="284">
        <f t="shared" si="2135"/>
        <v>1000</v>
      </c>
      <c r="AU268" s="284">
        <f t="shared" ref="AU268:AV268" si="2136">AU267</f>
        <v>700</v>
      </c>
      <c r="AV268" s="284">
        <f t="shared" si="2136"/>
        <v>700</v>
      </c>
      <c r="AW268" s="284"/>
      <c r="AX268" s="284">
        <f>AX267</f>
        <v>0</v>
      </c>
      <c r="AY268" s="68"/>
      <c r="AZ268" s="68"/>
      <c r="BA268" s="289"/>
      <c r="BB268" s="68"/>
      <c r="BC268" s="179"/>
      <c r="BD268" s="68"/>
      <c r="BE268" s="68"/>
      <c r="BF268" s="67" t="str">
        <f t="shared" ref="BF268:BH268" si="2137" xml:space="preserve"> BF267</f>
        <v>Fast</v>
      </c>
      <c r="BG268" s="295">
        <f t="shared" si="2137"/>
        <v>5</v>
      </c>
      <c r="BH268" s="295">
        <f t="shared" si="2137"/>
        <v>81</v>
      </c>
      <c r="BI268" s="47">
        <f t="shared" si="1903"/>
        <v>0.97805547321272501</v>
      </c>
      <c r="BJ268" s="61"/>
      <c r="BK268" s="61"/>
      <c r="BM268" s="51">
        <f t="shared" si="2131"/>
        <v>0</v>
      </c>
      <c r="BN268" s="51">
        <f t="shared" si="2131"/>
        <v>0</v>
      </c>
      <c r="BO268" s="51">
        <f t="shared" si="2131"/>
        <v>48</v>
      </c>
      <c r="BP268" s="51">
        <f t="shared" si="2131"/>
        <v>0</v>
      </c>
      <c r="BQ268" s="51">
        <f t="shared" si="2131"/>
        <v>0</v>
      </c>
      <c r="BR268" s="51">
        <f t="shared" si="2131"/>
        <v>31</v>
      </c>
      <c r="BS268" s="52">
        <f>IF(COUNT(P268:T268)&gt;1,MINA(P268:T268)*BS$9,0)</f>
        <v>-9.2999999999999989</v>
      </c>
      <c r="BT268" s="88">
        <f t="shared" si="2132"/>
        <v>85.600000000000009</v>
      </c>
      <c r="BU268" s="88">
        <f t="shared" si="2132"/>
        <v>0</v>
      </c>
      <c r="BV268" s="88">
        <f t="shared" si="2132"/>
        <v>0</v>
      </c>
      <c r="BW268" s="88">
        <f t="shared" si="2132"/>
        <v>30.599999999999998</v>
      </c>
      <c r="BX268" s="88">
        <f t="shared" si="2132"/>
        <v>13</v>
      </c>
      <c r="BY268" s="88">
        <f t="shared" si="2132"/>
        <v>0</v>
      </c>
      <c r="BZ268" s="88">
        <f t="shared" si="2132"/>
        <v>4.4000000000000004</v>
      </c>
      <c r="CA268" s="88">
        <f t="shared" si="2132"/>
        <v>0</v>
      </c>
      <c r="CB268" s="88">
        <f t="shared" si="2132"/>
        <v>0</v>
      </c>
      <c r="CC268" s="88">
        <f t="shared" si="2132"/>
        <v>0</v>
      </c>
      <c r="CD268" s="103">
        <f>SUM(BM268:CC268)</f>
        <v>203.3</v>
      </c>
      <c r="CE268" s="52"/>
      <c r="CF268" s="107">
        <f>J268</f>
        <v>274</v>
      </c>
      <c r="CG268" s="104">
        <f>CD268/CF268</f>
        <v>0.74197080291970807</v>
      </c>
      <c r="CH268" s="53">
        <f>Seilareal/Lwl/Lwl</f>
        <v>0.80058436815193568</v>
      </c>
      <c r="CI268" s="119">
        <f>Seilareal/Depl^0.667/K$7</f>
        <v>1.4729009120331189</v>
      </c>
      <c r="CJ268" s="53">
        <f>Seilareal/Lwl/Lwl/SApRS1</f>
        <v>1.2147420901246402</v>
      </c>
      <c r="CK268" s="209"/>
      <c r="CL268" s="209">
        <f>(ROUND(TBF/CL$6,3)*CL$6)*CL$4</f>
        <v>117.49999999999999</v>
      </c>
      <c r="CM268" s="110">
        <f t="shared" si="1772"/>
        <v>1.1762099063880653</v>
      </c>
      <c r="CN268" s="64">
        <f>IF(SeilBeregnet=0,"-",(SeilBeregnet)^(1/2)*StHfaktor/(Depl+DeplTillegg/1000+Vann/1000+Diesel/1000*0.84)^(1/3))</f>
        <v>3.4189835232956298</v>
      </c>
      <c r="CO268" s="64">
        <f t="shared" si="1759"/>
        <v>2.0257772791957316</v>
      </c>
      <c r="CP268" s="64">
        <f t="shared" si="1760"/>
        <v>2.0739244522212745</v>
      </c>
      <c r="CQ268" s="110">
        <f t="shared" si="1761"/>
        <v>0.99519007058976183</v>
      </c>
      <c r="CR268" s="172" t="str">
        <f t="shared" si="2112"/>
        <v>-</v>
      </c>
      <c r="CS268" s="162"/>
      <c r="CT268" s="172" t="str">
        <f t="shared" si="2113"/>
        <v>-</v>
      </c>
      <c r="CU268" s="164"/>
      <c r="CV268" s="195" t="s">
        <v>145</v>
      </c>
      <c r="CW268" s="64">
        <v>1.19</v>
      </c>
      <c r="CX268" s="64">
        <v>1.05</v>
      </c>
      <c r="CY268" s="64">
        <v>1.1299999999999999</v>
      </c>
      <c r="CZ268" s="154">
        <v>1.19</v>
      </c>
      <c r="DA268" s="64">
        <f t="shared" si="1951"/>
        <v>2.0384666167167156</v>
      </c>
      <c r="DB268" s="49">
        <f t="shared" si="1904"/>
        <v>13.911290322580646</v>
      </c>
      <c r="DC268" s="171"/>
      <c r="DE268" s="110">
        <f>IF(SeilBeregnet=0,"-",DE$7*(DG:DG+DE$6)*DL:DL*PropF+ErfaringsF+Dyp_F)</f>
        <v>1.1538328345520339</v>
      </c>
      <c r="DF268" s="145">
        <f t="shared" si="2114"/>
        <v>-2.2377071836031437</v>
      </c>
      <c r="DG268" s="110">
        <f t="shared" si="2115"/>
        <v>5.632031820492104</v>
      </c>
      <c r="DH268" s="136">
        <f>IF(SeilBeregnet=0,DH266,(SeilBeregnet^0.5/(Depl^0.3333))^DH$3*DH$7)</f>
        <v>3.4601706066767566</v>
      </c>
      <c r="DI268" s="136">
        <f>IF(SeilBeregnet=0,DI266,(SeilBeregnet^0.5/Lwl)^DI$3*DI$7)</f>
        <v>0</v>
      </c>
      <c r="DJ268" s="136">
        <f>IF(SeilBeregnet=0,DJ266,(0.1*Loa/Depl^0.3333)^DJ$3*DJ$7)</f>
        <v>0</v>
      </c>
      <c r="DK268" s="136">
        <f>IF(SeilBeregnet=0,DK266,((Loa)/Bredde)^DK$3*DK$7)</f>
        <v>2.171861213815347</v>
      </c>
      <c r="DL268" s="110">
        <f>IF(SeilBeregnet=0,DL266,(Lwl)^DL$3)</f>
        <v>2.0739244522212745</v>
      </c>
      <c r="DM268" s="136">
        <f>IF(SeilBeregnet=0,DM266,(Dypg/Loa)^DM$3*5*DM$7)</f>
        <v>1.8574175621006712</v>
      </c>
      <c r="DO268" s="110">
        <f t="shared" si="733"/>
        <v>1.1762099063880653</v>
      </c>
      <c r="DP268" s="110">
        <f t="shared" si="1952"/>
        <v>1.1400820345084495</v>
      </c>
      <c r="DQ268" s="125">
        <f>DP268-DO268</f>
        <v>-3.6127871879615858E-2</v>
      </c>
      <c r="DR268" s="110">
        <f t="shared" si="1953"/>
        <v>1.1415296580231524</v>
      </c>
      <c r="DS268" s="125">
        <f t="shared" si="2116"/>
        <v>-3.4680248364912902E-2</v>
      </c>
      <c r="DT268" s="110">
        <f t="shared" si="2117"/>
        <v>1.1747723428307115</v>
      </c>
      <c r="DU268" s="125">
        <f t="shared" si="2118"/>
        <v>-1.4375635573538048E-3</v>
      </c>
      <c r="DV268" s="110">
        <f>IF(SeilBeregnet=0,DV267,SeilBeregnet^0.5/Depl^0.33333)</f>
        <v>3.459729619229575</v>
      </c>
      <c r="DW268" s="110">
        <f>IF(SeilBeregnet=0,DW267,Lwl^0.3333)</f>
        <v>2.6445290195265336</v>
      </c>
      <c r="DX268" s="110">
        <f>IF(SeilBeregnet=0,DX267,((Loa+Lwl)/Bredde)^DX$3)</f>
        <v>1.6925961427894936</v>
      </c>
      <c r="DZ268" s="110">
        <f t="shared" si="2119"/>
        <v>1.1710342399723837</v>
      </c>
      <c r="EB268" s="110">
        <f>IF(SeilBeregnet=0,EB267,SeilBeregnet^0.5/Depl^0.33333)</f>
        <v>3.459729619229575</v>
      </c>
      <c r="EC268" s="110">
        <f>IF(SeilBeregnet=0,EC267,Lwl^EC$3)</f>
        <v>2.6447605135392824</v>
      </c>
      <c r="ED268" s="110">
        <f>IF(SeilBeregnet=0,ED267,((Loa+Lwl)/Bredde)^ED$3)</f>
        <v>2.017006612549411</v>
      </c>
      <c r="EE268" s="110">
        <f t="shared" si="2120"/>
        <v>1.1472206875591502</v>
      </c>
      <c r="EG268" s="110">
        <f>IF(SeilBeregnet=0,EG267,(EH268*EI268)^EG$3)</f>
        <v>5.8559250086025418</v>
      </c>
      <c r="EH268" s="110">
        <f>IF(SeilBeregnet=0,EH267,SeilBeregnet^0.5/Depl^0.33333)</f>
        <v>3.459729619229575</v>
      </c>
      <c r="EI268" s="110">
        <f>IF(SeilBeregnet=0,EI267,((Loa+Lwl)/Bredde)^EI$3)</f>
        <v>1.6925961427894936</v>
      </c>
      <c r="EJ268" s="110">
        <f>IF(SeilBeregnet=0,EJ267,Lwl^EJ$3)</f>
        <v>2.0739244522212745</v>
      </c>
      <c r="EK268" s="110">
        <f>IF(SeilBeregnet=0,"-",EK$7*(EK$4*EM:EM+EK$6)*EP:EP*PropF+ErfaringsF+Dyp_F)</f>
        <v>1.158270429429255</v>
      </c>
      <c r="EM268" s="110">
        <f>IF(SeilBeregnet=0,EM267,(EN:EN*EO:EO)^EM$3)</f>
        <v>1.9343223369515969</v>
      </c>
      <c r="EN268" s="110">
        <f>IF(SeilBeregnet=0,EN267,SeilBeregnet^0.5/Depl^0.33333)</f>
        <v>3.459729619229575</v>
      </c>
      <c r="EO268" s="110">
        <f>IF(SeilBeregnet=0,EO267,((Loa+Lwl)/Bredde/6)^EO$3)</f>
        <v>1.081472633709186</v>
      </c>
      <c r="EP268" s="110">
        <f>IF(SeilBeregnet=0,EP267,(Lwl*0.7+Loa*0.3)^EP$3)</f>
        <v>2.1265388832179877</v>
      </c>
      <c r="EQ268" s="110">
        <f>IF(SeilBeregnet=0,"-",EQ$7*(ES:ES+EQ$6)*EV:EV*PropF+ErfaringsF+Dyp_F)</f>
        <v>1.1009593952331873</v>
      </c>
      <c r="ES268" s="110">
        <f>(ET:ET*EU:EU)^ES$3</f>
        <v>1.9344456102681782</v>
      </c>
      <c r="ET268" s="110">
        <f>IF(SeilBeregnet=0,ET267,SeilBeregnet^0.5/Depl^0.3333)</f>
        <v>3.4601706066767566</v>
      </c>
      <c r="EU268" s="110">
        <f>IF(SeilBeregnet=0,EU267,((Loa+Lwl)/Bredde/6)^EU$3)</f>
        <v>1.081472633709186</v>
      </c>
      <c r="EV268" s="110">
        <f>IF(SeilBeregnet=0,EV267,(Lwl*0.7+Loa*0.3)^EV$3)</f>
        <v>2.1265388832179877</v>
      </c>
      <c r="EW268" s="110">
        <f>IF(SeilBeregnet=0,"-",EW$7*(EY:EY+EW$6)*FB:FB*PropF+ErfaringsF+Dyp_F)</f>
        <v>1.2093995443171037</v>
      </c>
      <c r="EX268" s="144">
        <f t="shared" si="2121"/>
        <v>3.3189637929038396</v>
      </c>
      <c r="EY268" s="110">
        <f>(EZ:EZ*FA:FA)^EY$3</f>
        <v>4.0469569174967406</v>
      </c>
      <c r="EZ268" s="136">
        <f>IF(SeilBeregnet=0,EZ267,(SeilBeregnet^0.5/(Depl^0.3333))^EZ$3)</f>
        <v>3.4601706066767566</v>
      </c>
      <c r="FA268" s="136">
        <f>IF(SeilBeregnet=0,FA267,((Loa+Lwl)/Bredde/6)^FA$3)</f>
        <v>1.1695830574618833</v>
      </c>
      <c r="FB268" s="110">
        <f>IF(SeilBeregnet=0,FB267,(Lwl*0.07+Loa*0.03)^FB$3)</f>
        <v>1.195840693657608</v>
      </c>
      <c r="FC268" s="110">
        <f>IF(SeilBeregnet=0,"-",FC$7*(FE:FE+FC$6)*FI:FI*PropF+ErfaringsF+Dyp_F)</f>
        <v>1.1494291849739591</v>
      </c>
      <c r="FD268" s="144">
        <f t="shared" si="2122"/>
        <v>-2.6780721414106257</v>
      </c>
      <c r="FE268" s="110">
        <f>(FF:FF+FG:FG+FH:FH)^FE$3+FE$7</f>
        <v>5.9027524095791346</v>
      </c>
      <c r="FF268" s="136">
        <f>IF(SeilBeregnet=0,FF267,(SeilBeregnet^0.5/(Depl^0.3333))^FF$3)</f>
        <v>3.4601706066767566</v>
      </c>
      <c r="FG268" s="136">
        <f>IF(SeilBeregnet=0,FG267,(SeilBeregnet^0.5/Lwl*FG$7)^FG$3)</f>
        <v>0.77072058908703023</v>
      </c>
      <c r="FH268" s="136">
        <f>IF(SeilBeregnet=0,FH267,((Loa)/Bredde)^FH$3*FH$7)</f>
        <v>2.171861213815347</v>
      </c>
      <c r="FI268" s="110">
        <f>IF(SeilBeregnet=0,FI267,(Lwl)^FI$3)</f>
        <v>2.0739244522212745</v>
      </c>
      <c r="FJ268" s="110">
        <f>IF(SeilBeregnet=0,"-",FJ$7*(FL:FL+FJ$6)*FO:FO*PropF+ErfaringsF+Dyp_F)</f>
        <v>1.214574322843655</v>
      </c>
      <c r="FK268" s="144">
        <f t="shared" si="2123"/>
        <v>3.8364416455589634</v>
      </c>
      <c r="FL268" s="110">
        <f>(FM:FM*FN:FN)^FL$3</f>
        <v>7.5150103338251659</v>
      </c>
      <c r="FM268" s="136">
        <f>IF(SeilBeregnet=0,FM267,(SeilBeregnet^0.5/(Depl^0.3333))^FM$3)</f>
        <v>3.4601706066767566</v>
      </c>
      <c r="FN268" s="136">
        <f>IF(SeilBeregnet=0,FN267,(Loa/Bredde)^FN$3)</f>
        <v>2.171861213815347</v>
      </c>
      <c r="FO268" s="110">
        <f>IF(SeilBeregnet=0,FO267,Lwl^FO$3)</f>
        <v>2.0739244522212745</v>
      </c>
      <c r="FQ268" s="374">
        <v>1</v>
      </c>
      <c r="FR268" s="64">
        <f t="shared" si="2124"/>
        <v>1.452676113464592</v>
      </c>
      <c r="FS268" s="479"/>
      <c r="FT268" s="18"/>
      <c r="FU268" s="481"/>
      <c r="FV268" s="504"/>
      <c r="FW268" s="18"/>
      <c r="FX268" s="18"/>
      <c r="FY268" s="18"/>
      <c r="FZ268" s="18"/>
      <c r="GB268" s="18"/>
      <c r="GC268" s="481"/>
      <c r="GD268" s="8"/>
      <c r="GE268" s="8"/>
      <c r="GF268" s="8"/>
      <c r="GG268" s="8"/>
      <c r="GI268" s="18"/>
      <c r="GJ268" s="18"/>
      <c r="GK268" s="18"/>
      <c r="GL268" s="18"/>
      <c r="GM268" s="18"/>
      <c r="GN268" s="18"/>
      <c r="GO268" s="18"/>
      <c r="GP268" s="18"/>
    </row>
    <row r="269" spans="1:198" ht="15.6" x14ac:dyDescent="0.3">
      <c r="A269" s="62" t="s">
        <v>154</v>
      </c>
      <c r="B269" s="223"/>
      <c r="C269" s="63" t="str">
        <f t="shared" si="2133"/>
        <v>Gaffel</v>
      </c>
      <c r="D269" s="63"/>
      <c r="E269" s="63"/>
      <c r="F269" s="63"/>
      <c r="G269" s="56"/>
      <c r="H269" s="209">
        <f>TBFavrundet</f>
        <v>117.00000000000001</v>
      </c>
      <c r="I269" s="65">
        <f>COUNTA(O269:AD269)</f>
        <v>5</v>
      </c>
      <c r="J269" s="228">
        <f>SUM(O269:AD269)</f>
        <v>263</v>
      </c>
      <c r="K269" s="119">
        <f>Seilareal/Depl^0.667/K$7</f>
        <v>1.4137698535208405</v>
      </c>
      <c r="L269" s="119">
        <f>Seilareal/Lwl/Lwl/L$7</f>
        <v>1.1659750719079576</v>
      </c>
      <c r="M269" s="95">
        <f>RiggF</f>
        <v>0.75627376425855519</v>
      </c>
      <c r="N269" s="265">
        <f>StHfaktor</f>
        <v>0.99519007058976183</v>
      </c>
      <c r="O269" s="147"/>
      <c r="P269" s="147"/>
      <c r="Q269" s="169">
        <v>48</v>
      </c>
      <c r="R269" s="147"/>
      <c r="S269" s="147"/>
      <c r="T269" s="169">
        <v>31</v>
      </c>
      <c r="U269" s="169">
        <v>107</v>
      </c>
      <c r="V269" s="148"/>
      <c r="W269" s="148"/>
      <c r="X269" s="169">
        <v>51</v>
      </c>
      <c r="Y269" s="169">
        <v>26</v>
      </c>
      <c r="Z269" s="147"/>
      <c r="AA269" s="147"/>
      <c r="AB269" s="147"/>
      <c r="AC269" s="147"/>
      <c r="AD269" s="148"/>
      <c r="AE269" s="260">
        <f t="shared" si="2125"/>
        <v>17.8</v>
      </c>
      <c r="AF269" s="375">
        <f t="shared" si="2126"/>
        <v>0</v>
      </c>
      <c r="AG269" s="377"/>
      <c r="AH269" s="375">
        <f t="shared" si="2126"/>
        <v>0</v>
      </c>
      <c r="AI269" s="377"/>
      <c r="AJ269" s="295" t="str">
        <f t="shared" ref="AJ269" si="2138" xml:space="preserve"> AJ268</f>
        <v>Meter</v>
      </c>
      <c r="AK269" s="47">
        <f>VLOOKUP(AJ269,Skrogform!$1:$1048576,3,FALSE)</f>
        <v>1</v>
      </c>
      <c r="AL269" s="66">
        <f t="shared" ref="AL269:AT269" si="2139">AL268</f>
        <v>25</v>
      </c>
      <c r="AM269" s="66">
        <f t="shared" si="2139"/>
        <v>18.5</v>
      </c>
      <c r="AN269" s="66">
        <f t="shared" si="2139"/>
        <v>5.3</v>
      </c>
      <c r="AO269" s="66">
        <f t="shared" si="2139"/>
        <v>3.45</v>
      </c>
      <c r="AP269" s="66">
        <f t="shared" si="2139"/>
        <v>70</v>
      </c>
      <c r="AQ269" s="66">
        <f t="shared" si="2139"/>
        <v>25</v>
      </c>
      <c r="AR269" s="66">
        <f t="shared" si="2139"/>
        <v>0</v>
      </c>
      <c r="AS269" s="284">
        <f t="shared" si="2139"/>
        <v>284</v>
      </c>
      <c r="AT269" s="284">
        <f t="shared" si="2139"/>
        <v>1000</v>
      </c>
      <c r="AU269" s="284">
        <f t="shared" ref="AU269:AV269" si="2140">AU268</f>
        <v>700</v>
      </c>
      <c r="AV269" s="284">
        <f t="shared" si="2140"/>
        <v>700</v>
      </c>
      <c r="AW269" s="284"/>
      <c r="AX269" s="284">
        <f>AX268</f>
        <v>0</v>
      </c>
      <c r="AY269" s="68"/>
      <c r="AZ269" s="68"/>
      <c r="BA269" s="289"/>
      <c r="BB269" s="68"/>
      <c r="BC269" s="179"/>
      <c r="BD269" s="68"/>
      <c r="BE269" s="68"/>
      <c r="BF269" s="67" t="str">
        <f t="shared" ref="BF269:BH269" si="2141" xml:space="preserve"> BF268</f>
        <v>Fast</v>
      </c>
      <c r="BG269" s="295">
        <f t="shared" si="2141"/>
        <v>5</v>
      </c>
      <c r="BH269" s="295">
        <f t="shared" si="2141"/>
        <v>81</v>
      </c>
      <c r="BI269" s="47">
        <f t="shared" si="1903"/>
        <v>0.97805547321272501</v>
      </c>
      <c r="BJ269" s="61"/>
      <c r="BK269" s="61"/>
      <c r="BM269" s="51">
        <f t="shared" si="2131"/>
        <v>0</v>
      </c>
      <c r="BN269" s="51">
        <f t="shared" si="2131"/>
        <v>0</v>
      </c>
      <c r="BO269" s="51">
        <f t="shared" si="2131"/>
        <v>48</v>
      </c>
      <c r="BP269" s="51">
        <f t="shared" si="2131"/>
        <v>0</v>
      </c>
      <c r="BQ269" s="51">
        <f t="shared" si="2131"/>
        <v>0</v>
      </c>
      <c r="BR269" s="51">
        <f t="shared" si="2131"/>
        <v>31</v>
      </c>
      <c r="BS269" s="52">
        <f>IF(COUNT(P269:T269)&gt;1,MINA(P269:T269)*BS$9,0)</f>
        <v>-9.2999999999999989</v>
      </c>
      <c r="BT269" s="88">
        <f t="shared" si="2132"/>
        <v>85.600000000000009</v>
      </c>
      <c r="BU269" s="88">
        <f t="shared" si="2132"/>
        <v>0</v>
      </c>
      <c r="BV269" s="88">
        <f t="shared" si="2132"/>
        <v>0</v>
      </c>
      <c r="BW269" s="88">
        <f t="shared" si="2132"/>
        <v>30.599999999999998</v>
      </c>
      <c r="BX269" s="88">
        <f t="shared" si="2132"/>
        <v>13</v>
      </c>
      <c r="BY269" s="88">
        <f t="shared" si="2132"/>
        <v>0</v>
      </c>
      <c r="BZ269" s="88">
        <f t="shared" si="2132"/>
        <v>0</v>
      </c>
      <c r="CA269" s="88">
        <f t="shared" si="2132"/>
        <v>0</v>
      </c>
      <c r="CB269" s="88">
        <f t="shared" si="2132"/>
        <v>0</v>
      </c>
      <c r="CC269" s="88">
        <f t="shared" si="2132"/>
        <v>0</v>
      </c>
      <c r="CD269" s="103">
        <f>SUM(BM269:CC269)</f>
        <v>198.9</v>
      </c>
      <c r="CE269" s="52"/>
      <c r="CF269" s="107">
        <f>J269</f>
        <v>263</v>
      </c>
      <c r="CG269" s="104">
        <f>CD269/CF269</f>
        <v>0.75627376425855519</v>
      </c>
      <c r="CH269" s="53">
        <f>Seilareal/Lwl/Lwl</f>
        <v>0.76844411979547111</v>
      </c>
      <c r="CI269" s="119">
        <f>Seilareal/Depl^0.667/K$7</f>
        <v>1.4137698535208405</v>
      </c>
      <c r="CJ269" s="53">
        <f>Seilareal/Lwl/Lwl/SApRS1</f>
        <v>1.1659750719079576</v>
      </c>
      <c r="CK269" s="209"/>
      <c r="CL269" s="209">
        <f>(ROUND(TBF/CL$6,3)*CL$6)*CL$4</f>
        <v>117.00000000000001</v>
      </c>
      <c r="CM269" s="110">
        <f t="shared" si="1772"/>
        <v>1.1681735814414813</v>
      </c>
      <c r="CN269" s="64">
        <f>IF(SeilBeregnet=0,"-",(SeilBeregnet)^(1/2)*StHfaktor/(Depl+DeplTillegg/1000+Vann/1000+Diesel/1000*0.84)^(1/3))</f>
        <v>3.3817827933684264</v>
      </c>
      <c r="CO269" s="64">
        <f t="shared" si="1759"/>
        <v>2.0257772791957316</v>
      </c>
      <c r="CP269" s="64">
        <f t="shared" si="1760"/>
        <v>2.0739244522212745</v>
      </c>
      <c r="CQ269" s="110">
        <f t="shared" si="1761"/>
        <v>0.99519007058976183</v>
      </c>
      <c r="CR269" s="172" t="str">
        <f t="shared" si="2112"/>
        <v>-</v>
      </c>
      <c r="CS269" s="162"/>
      <c r="CT269" s="172" t="str">
        <f t="shared" si="2113"/>
        <v>-</v>
      </c>
      <c r="CU269" s="164"/>
      <c r="CV269" s="195" t="s">
        <v>145</v>
      </c>
      <c r="CW269" s="64">
        <v>1.19</v>
      </c>
      <c r="CX269" s="64">
        <v>1.05</v>
      </c>
      <c r="CY269" s="64">
        <v>1.1299999999999999</v>
      </c>
      <c r="CZ269" s="154">
        <v>1.19</v>
      </c>
      <c r="DA269" s="64">
        <f t="shared" si="1951"/>
        <v>2.0384666167167156</v>
      </c>
      <c r="DB269" s="49">
        <f t="shared" si="1904"/>
        <v>13.911290322580646</v>
      </c>
      <c r="DC269" s="171"/>
      <c r="DE269" s="110">
        <f>IF(SeilBeregnet=0,"-",DE$7*(DG:DG+DE$6)*DL:DL*PropF+ErfaringsF+Dyp_F)</f>
        <v>1.1461197203842115</v>
      </c>
      <c r="DF269" s="145">
        <f t="shared" si="2114"/>
        <v>-2.2053861057269808</v>
      </c>
      <c r="DG269" s="110">
        <f t="shared" si="2115"/>
        <v>5.5943829487254</v>
      </c>
      <c r="DH269" s="136">
        <f>IF(SeilBeregnet=0,DH267,(SeilBeregnet^0.5/(Depl^0.3333))^DH$3*DH$7)</f>
        <v>3.4225217349100525</v>
      </c>
      <c r="DI269" s="136">
        <f>IF(SeilBeregnet=0,DI267,(SeilBeregnet^0.5/Lwl)^DI$3*DI$7)</f>
        <v>0</v>
      </c>
      <c r="DJ269" s="136">
        <f>IF(SeilBeregnet=0,DJ267,(0.1*Loa/Depl^0.3333)^DJ$3*DJ$7)</f>
        <v>0</v>
      </c>
      <c r="DK269" s="136">
        <f>IF(SeilBeregnet=0,DK267,((Loa)/Bredde)^DK$3*DK$7)</f>
        <v>2.171861213815347</v>
      </c>
      <c r="DL269" s="110">
        <f>IF(SeilBeregnet=0,DL267,(Lwl)^DL$3)</f>
        <v>2.0739244522212745</v>
      </c>
      <c r="DM269" s="136">
        <f>IF(SeilBeregnet=0,DM267,(Dypg/Loa)^DM$3*5*DM$7)</f>
        <v>1.8574175621006712</v>
      </c>
      <c r="DO269" s="110">
        <f t="shared" si="733"/>
        <v>1.1681735814414813</v>
      </c>
      <c r="DP269" s="110">
        <f t="shared" si="1952"/>
        <v>1.1298240893259435</v>
      </c>
      <c r="DQ269" s="125">
        <f>DP269-DO269</f>
        <v>-3.8349492115537842E-2</v>
      </c>
      <c r="DR269" s="110">
        <f t="shared" si="1953"/>
        <v>1.1327641869082261</v>
      </c>
      <c r="DS269" s="125">
        <f t="shared" si="2116"/>
        <v>-3.5409394533255201E-2</v>
      </c>
      <c r="DT269" s="110">
        <f t="shared" si="2117"/>
        <v>1.1644447452291369</v>
      </c>
      <c r="DU269" s="125">
        <f t="shared" si="2118"/>
        <v>-3.728836212344433E-3</v>
      </c>
      <c r="DV269" s="110">
        <f>IF(SeilBeregnet=0,DV268,SeilBeregnet^0.5/Depl^0.33333)</f>
        <v>3.4220855456886627</v>
      </c>
      <c r="DW269" s="110">
        <f>IF(SeilBeregnet=0,DW268,Lwl^0.3333)</f>
        <v>2.6445290195265336</v>
      </c>
      <c r="DX269" s="110">
        <f>IF(SeilBeregnet=0,DX268,((Loa+Lwl)/Bredde)^DX$3)</f>
        <v>1.6925961427894936</v>
      </c>
      <c r="DZ269" s="110">
        <f t="shared" si="2119"/>
        <v>1.1614712942689254</v>
      </c>
      <c r="EB269" s="110">
        <f>IF(SeilBeregnet=0,EB268,SeilBeregnet^0.5/Depl^0.33333)</f>
        <v>3.4220855456886627</v>
      </c>
      <c r="EC269" s="110">
        <f>IF(SeilBeregnet=0,EC268,Lwl^EC$3)</f>
        <v>2.6447605135392824</v>
      </c>
      <c r="ED269" s="110">
        <f>IF(SeilBeregnet=0,ED268,((Loa+Lwl)/Bredde)^ED$3)</f>
        <v>2.017006612549411</v>
      </c>
      <c r="EE269" s="110">
        <f t="shared" si="2120"/>
        <v>1.1379160470005942</v>
      </c>
      <c r="EG269" s="110">
        <f>IF(SeilBeregnet=0,EG268,(EH269*EI269)^EG$3)</f>
        <v>5.7922087949283094</v>
      </c>
      <c r="EH269" s="110">
        <f>IF(SeilBeregnet=0,EH268,SeilBeregnet^0.5/Depl^0.33333)</f>
        <v>3.4220855456886627</v>
      </c>
      <c r="EI269" s="110">
        <f>IF(SeilBeregnet=0,EI268,((Loa+Lwl)/Bredde)^EI$3)</f>
        <v>1.6925961427894936</v>
      </c>
      <c r="EJ269" s="110">
        <f>IF(SeilBeregnet=0,EJ268,Lwl^EJ$3)</f>
        <v>2.0739244522212745</v>
      </c>
      <c r="EK269" s="110">
        <f>IF(SeilBeregnet=0,"-",EK$7*(EK$4*EM:EM+EK$6)*EP:EP*PropF+ErfaringsF+Dyp_F)</f>
        <v>1.1497491911032474</v>
      </c>
      <c r="EM269" s="110">
        <f>IF(SeilBeregnet=0,EM268,(EN:EN*EO:EO)^EM$3)</f>
        <v>1.9237702222131559</v>
      </c>
      <c r="EN269" s="110">
        <f>IF(SeilBeregnet=0,EN268,SeilBeregnet^0.5/Depl^0.33333)</f>
        <v>3.4220855456886627</v>
      </c>
      <c r="EO269" s="110">
        <f>IF(SeilBeregnet=0,EO268,((Loa+Lwl)/Bredde/6)^EO$3)</f>
        <v>1.081472633709186</v>
      </c>
      <c r="EP269" s="110">
        <f>IF(SeilBeregnet=0,EP268,(Lwl*0.7+Loa*0.3)^EP$3)</f>
        <v>2.1265388832179877</v>
      </c>
      <c r="EQ269" s="110">
        <f>IF(SeilBeregnet=0,"-",EQ$7*(ES:ES+EQ$6)*EV:EV*PropF+ErfaringsF+Dyp_F)</f>
        <v>1.0949534418101534</v>
      </c>
      <c r="ES269" s="110">
        <f>(ET:ET*EU:EU)^ES$3</f>
        <v>1.9238928230491705</v>
      </c>
      <c r="ET269" s="110">
        <f>IF(SeilBeregnet=0,ET268,SeilBeregnet^0.5/Depl^0.3333)</f>
        <v>3.4225217349100525</v>
      </c>
      <c r="EU269" s="110">
        <f>IF(SeilBeregnet=0,EU268,((Loa+Lwl)/Bredde/6)^EU$3)</f>
        <v>1.081472633709186</v>
      </c>
      <c r="EV269" s="110">
        <f>IF(SeilBeregnet=0,EV268,(Lwl*0.7+Loa*0.3)^EV$3)</f>
        <v>2.1265388832179877</v>
      </c>
      <c r="EW269" s="110">
        <f>IF(SeilBeregnet=0,"-",EW$7*(EY:EY+EW$6)*FB:FB*PropF+ErfaringsF+Dyp_F)</f>
        <v>1.2005927883804681</v>
      </c>
      <c r="EX269" s="144">
        <f t="shared" si="2121"/>
        <v>3.2419206938986811</v>
      </c>
      <c r="EY269" s="110">
        <f>(EZ:EZ*FA:FA)^EY$3</f>
        <v>4.0029234349458482</v>
      </c>
      <c r="EZ269" s="136">
        <f>IF(SeilBeregnet=0,EZ268,(SeilBeregnet^0.5/(Depl^0.3333))^EZ$3)</f>
        <v>3.4225217349100525</v>
      </c>
      <c r="FA269" s="136">
        <f>IF(SeilBeregnet=0,FA268,((Loa+Lwl)/Bredde/6)^FA$3)</f>
        <v>1.1695830574618833</v>
      </c>
      <c r="FB269" s="110">
        <f>IF(SeilBeregnet=0,FB268,(Lwl*0.07+Loa*0.03)^FB$3)</f>
        <v>1.195840693657608</v>
      </c>
      <c r="FC269" s="110">
        <f>IF(SeilBeregnet=0,"-",FC$7*(FE:FE+FC$6)*FI:FI*PropF+ErfaringsF+Dyp_F)</f>
        <v>1.140464934903263</v>
      </c>
      <c r="FD269" s="144">
        <f t="shared" si="2122"/>
        <v>-2.7708646538218362</v>
      </c>
      <c r="FE269" s="110">
        <f>(FF:FF+FG:FG+FH:FH)^FE$3+FE$7</f>
        <v>5.8567176043065778</v>
      </c>
      <c r="FF269" s="136">
        <f>IF(SeilBeregnet=0,FF268,(SeilBeregnet^0.5/(Depl^0.3333))^FF$3)</f>
        <v>3.4225217349100525</v>
      </c>
      <c r="FG269" s="136">
        <f>IF(SeilBeregnet=0,FG268,(SeilBeregnet^0.5/Lwl*FG$7)^FG$3)</f>
        <v>0.76233465558117786</v>
      </c>
      <c r="FH269" s="136">
        <f>IF(SeilBeregnet=0,FH268,((Loa)/Bredde)^FH$3*FH$7)</f>
        <v>2.171861213815347</v>
      </c>
      <c r="FI269" s="110">
        <f>IF(SeilBeregnet=0,FI268,(Lwl)^FI$3)</f>
        <v>2.0739244522212745</v>
      </c>
      <c r="FJ269" s="110">
        <f>IF(SeilBeregnet=0,"-",FJ$7*(FL:FL+FJ$6)*FO:FO*PropF+ErfaringsF+Dyp_F)</f>
        <v>1.2059496267848553</v>
      </c>
      <c r="FK269" s="144">
        <f t="shared" si="2123"/>
        <v>3.7776045343373976</v>
      </c>
      <c r="FL269" s="110">
        <f>(FM:FM*FN:FN)^FL$3</f>
        <v>7.4332422094911541</v>
      </c>
      <c r="FM269" s="136">
        <f>IF(SeilBeregnet=0,FM268,(SeilBeregnet^0.5/(Depl^0.3333))^FM$3)</f>
        <v>3.4225217349100525</v>
      </c>
      <c r="FN269" s="136">
        <f>IF(SeilBeregnet=0,FN268,(Loa/Bredde)^FN$3)</f>
        <v>2.171861213815347</v>
      </c>
      <c r="FO269" s="110">
        <f>IF(SeilBeregnet=0,FO268,Lwl^FO$3)</f>
        <v>2.0739244522212745</v>
      </c>
      <c r="FQ269" s="374">
        <v>1</v>
      </c>
      <c r="FR269" s="64">
        <f t="shared" si="2124"/>
        <v>1.4453741814996606</v>
      </c>
      <c r="FS269" s="479"/>
      <c r="FT269" s="18"/>
      <c r="FU269" s="481"/>
      <c r="FV269" s="504"/>
      <c r="FW269" s="18"/>
      <c r="FX269" s="18"/>
      <c r="FY269" s="18"/>
      <c r="FZ269" s="18"/>
      <c r="GB269" s="18"/>
      <c r="GC269" s="481"/>
      <c r="GD269" s="8"/>
      <c r="GE269" s="8"/>
      <c r="GF269" s="8"/>
      <c r="GG269" s="8"/>
      <c r="GI269" s="18"/>
      <c r="GJ269" s="18"/>
      <c r="GK269" s="18"/>
      <c r="GL269" s="18"/>
      <c r="GM269" s="18"/>
      <c r="GN269" s="18"/>
      <c r="GO269" s="18"/>
      <c r="GP269" s="18"/>
    </row>
    <row r="270" spans="1:198" ht="15.6" x14ac:dyDescent="0.3">
      <c r="A270" s="62" t="s">
        <v>67</v>
      </c>
      <c r="B270" s="223"/>
      <c r="C270" s="63" t="str">
        <f t="shared" si="2133"/>
        <v>Gaffel</v>
      </c>
      <c r="D270" s="63"/>
      <c r="E270" s="63"/>
      <c r="F270" s="63"/>
      <c r="G270" s="56"/>
      <c r="H270" s="209">
        <f>TBFavrundet</f>
        <v>114.5</v>
      </c>
      <c r="I270" s="65">
        <f>COUNTA(O270:AD270)</f>
        <v>4</v>
      </c>
      <c r="J270" s="228">
        <f>SUM(O270:AD270)</f>
        <v>237</v>
      </c>
      <c r="K270" s="119">
        <f>Seilareal/Depl^0.667/K$7</f>
        <v>1.2740055334009095</v>
      </c>
      <c r="L270" s="119">
        <f>Seilareal/Lwl/Lwl/L$7</f>
        <v>1.0507075743048895</v>
      </c>
      <c r="M270" s="95">
        <f>RiggF</f>
        <v>0.78438818565400847</v>
      </c>
      <c r="N270" s="265">
        <f>StHfaktor</f>
        <v>0.99519007058976183</v>
      </c>
      <c r="O270" s="147"/>
      <c r="P270" s="147"/>
      <c r="Q270" s="169">
        <v>48</v>
      </c>
      <c r="R270" s="147"/>
      <c r="S270" s="147"/>
      <c r="T270" s="169">
        <v>31</v>
      </c>
      <c r="U270" s="169">
        <v>107</v>
      </c>
      <c r="V270" s="148"/>
      <c r="W270" s="148"/>
      <c r="X270" s="169">
        <v>51</v>
      </c>
      <c r="Y270" s="147"/>
      <c r="Z270" s="147"/>
      <c r="AA270" s="147"/>
      <c r="AB270" s="147"/>
      <c r="AC270" s="147"/>
      <c r="AD270" s="148"/>
      <c r="AE270" s="260">
        <f t="shared" si="2125"/>
        <v>17.8</v>
      </c>
      <c r="AF270" s="375">
        <f t="shared" si="2126"/>
        <v>0</v>
      </c>
      <c r="AG270" s="377"/>
      <c r="AH270" s="375">
        <f t="shared" si="2126"/>
        <v>0</v>
      </c>
      <c r="AI270" s="377"/>
      <c r="AJ270" s="295" t="str">
        <f t="shared" ref="AJ270" si="2142" xml:space="preserve"> AJ269</f>
        <v>Meter</v>
      </c>
      <c r="AK270" s="47">
        <f>VLOOKUP(AJ270,Skrogform!$1:$1048576,3,FALSE)</f>
        <v>1</v>
      </c>
      <c r="AL270" s="66">
        <f t="shared" ref="AL270:AT270" si="2143">AL269</f>
        <v>25</v>
      </c>
      <c r="AM270" s="66">
        <f t="shared" si="2143"/>
        <v>18.5</v>
      </c>
      <c r="AN270" s="66">
        <f t="shared" si="2143"/>
        <v>5.3</v>
      </c>
      <c r="AO270" s="66">
        <f t="shared" si="2143"/>
        <v>3.45</v>
      </c>
      <c r="AP270" s="66">
        <f t="shared" si="2143"/>
        <v>70</v>
      </c>
      <c r="AQ270" s="66">
        <f t="shared" si="2143"/>
        <v>25</v>
      </c>
      <c r="AR270" s="66">
        <f t="shared" si="2143"/>
        <v>0</v>
      </c>
      <c r="AS270" s="284">
        <f t="shared" si="2143"/>
        <v>284</v>
      </c>
      <c r="AT270" s="284">
        <f t="shared" si="2143"/>
        <v>1000</v>
      </c>
      <c r="AU270" s="284">
        <f t="shared" ref="AU270:AV270" si="2144">AU269</f>
        <v>700</v>
      </c>
      <c r="AV270" s="284">
        <f t="shared" si="2144"/>
        <v>700</v>
      </c>
      <c r="AW270" s="284"/>
      <c r="AX270" s="284">
        <f>AX269</f>
        <v>0</v>
      </c>
      <c r="AY270" s="68"/>
      <c r="AZ270" s="68"/>
      <c r="BA270" s="289"/>
      <c r="BB270" s="68"/>
      <c r="BC270" s="179"/>
      <c r="BD270" s="68"/>
      <c r="BE270" s="68"/>
      <c r="BF270" s="67" t="str">
        <f t="shared" ref="BF270:BH270" si="2145" xml:space="preserve"> BF269</f>
        <v>Fast</v>
      </c>
      <c r="BG270" s="295">
        <f t="shared" si="2145"/>
        <v>5</v>
      </c>
      <c r="BH270" s="295">
        <f t="shared" si="2145"/>
        <v>81</v>
      </c>
      <c r="BI270" s="47">
        <f t="shared" si="1903"/>
        <v>0.97805547321272501</v>
      </c>
      <c r="BJ270" s="61"/>
      <c r="BK270" s="61"/>
      <c r="BM270" s="51">
        <f t="shared" si="2131"/>
        <v>0</v>
      </c>
      <c r="BN270" s="51">
        <f t="shared" si="2131"/>
        <v>0</v>
      </c>
      <c r="BO270" s="51">
        <f t="shared" si="2131"/>
        <v>48</v>
      </c>
      <c r="BP270" s="51">
        <f t="shared" si="2131"/>
        <v>0</v>
      </c>
      <c r="BQ270" s="51">
        <f t="shared" si="2131"/>
        <v>0</v>
      </c>
      <c r="BR270" s="51">
        <f t="shared" si="2131"/>
        <v>31</v>
      </c>
      <c r="BS270" s="52">
        <f>IF(COUNT(P270:T270)&gt;1,MINA(P270:T270)*BS$9,0)</f>
        <v>-9.2999999999999989</v>
      </c>
      <c r="BT270" s="88">
        <f t="shared" si="2132"/>
        <v>85.600000000000009</v>
      </c>
      <c r="BU270" s="88">
        <f t="shared" si="2132"/>
        <v>0</v>
      </c>
      <c r="BV270" s="88">
        <f t="shared" si="2132"/>
        <v>0</v>
      </c>
      <c r="BW270" s="88">
        <f t="shared" si="2132"/>
        <v>30.599999999999998</v>
      </c>
      <c r="BX270" s="88">
        <f t="shared" si="2132"/>
        <v>0</v>
      </c>
      <c r="BY270" s="88">
        <f t="shared" si="2132"/>
        <v>0</v>
      </c>
      <c r="BZ270" s="88">
        <f t="shared" si="2132"/>
        <v>0</v>
      </c>
      <c r="CA270" s="88">
        <f t="shared" si="2132"/>
        <v>0</v>
      </c>
      <c r="CB270" s="88">
        <f t="shared" si="2132"/>
        <v>0</v>
      </c>
      <c r="CC270" s="88">
        <f t="shared" si="2132"/>
        <v>0</v>
      </c>
      <c r="CD270" s="103">
        <f>SUM(BM270:CC270)</f>
        <v>185.9</v>
      </c>
      <c r="CE270" s="52"/>
      <c r="CF270" s="107">
        <f>J270</f>
        <v>237</v>
      </c>
      <c r="CG270" s="104">
        <f>CD270/CF270</f>
        <v>0.78438818565400847</v>
      </c>
      <c r="CH270" s="53">
        <f>Seilareal/Lwl/Lwl</f>
        <v>0.69247626004382756</v>
      </c>
      <c r="CI270" s="119">
        <f>Seilareal/Depl^0.667/K$7</f>
        <v>1.2740055334009095</v>
      </c>
      <c r="CJ270" s="53">
        <f>Seilareal/Lwl/Lwl/SApRS1</f>
        <v>1.0507075743048895</v>
      </c>
      <c r="CK270" s="209"/>
      <c r="CL270" s="209">
        <f>(ROUND(TBF/CL$6,3)*CL$6)*CL$4</f>
        <v>114.5</v>
      </c>
      <c r="CM270" s="110">
        <f t="shared" si="1772"/>
        <v>1.1438959029704403</v>
      </c>
      <c r="CN270" s="64">
        <f>IF(SeilBeregnet=0,"-",(SeilBeregnet)^(1/2)*StHfaktor/(Depl+DeplTillegg/1000+Vann/1000+Diesel/1000*0.84)^(1/3))</f>
        <v>3.2693996622651236</v>
      </c>
      <c r="CO270" s="64">
        <f t="shared" si="1759"/>
        <v>2.0257772791957316</v>
      </c>
      <c r="CP270" s="64">
        <f t="shared" si="1760"/>
        <v>2.0739244522212745</v>
      </c>
      <c r="CQ270" s="110">
        <f t="shared" si="1761"/>
        <v>0.99519007058976183</v>
      </c>
      <c r="CR270" s="172" t="str">
        <f t="shared" si="2112"/>
        <v>-</v>
      </c>
      <c r="CS270" s="162"/>
      <c r="CT270" s="172" t="str">
        <f t="shared" si="2113"/>
        <v>-</v>
      </c>
      <c r="CU270" s="164"/>
      <c r="CV270" s="195" t="s">
        <v>145</v>
      </c>
      <c r="CW270" s="64">
        <v>1.1599999999999999</v>
      </c>
      <c r="CX270" s="64">
        <v>1.04</v>
      </c>
      <c r="CY270" s="64">
        <v>1.1000000000000001</v>
      </c>
      <c r="CZ270" s="154">
        <v>1.1599999999999999</v>
      </c>
      <c r="DA270" s="64">
        <f t="shared" si="1951"/>
        <v>2.0384666167167156</v>
      </c>
      <c r="DB270" s="49">
        <f t="shared" si="1904"/>
        <v>13.911290322580646</v>
      </c>
      <c r="DC270" s="171"/>
      <c r="DE270" s="110">
        <f>IF(SeilBeregnet=0,"-",DE$7*(DG:DG+DE$6)*DL:DL*PropF+ErfaringsF+Dyp_F)</f>
        <v>1.1228184592951598</v>
      </c>
      <c r="DF270" s="144" t="str">
        <f t="shared" si="2114"/>
        <v>-</v>
      </c>
      <c r="DG270" s="110">
        <f t="shared" si="2115"/>
        <v>5.4806459844258137</v>
      </c>
      <c r="DH270" s="136">
        <f>IF(SeilBeregnet=0,DH268,(SeilBeregnet^0.5/(Depl^0.3333))^DH$3*DH$7)</f>
        <v>3.3087847706104667</v>
      </c>
      <c r="DI270" s="136">
        <f>IF(SeilBeregnet=0,DI268,(SeilBeregnet^0.5/Lwl)^DI$3*DI$7)</f>
        <v>0</v>
      </c>
      <c r="DJ270" s="136">
        <f>IF(SeilBeregnet=0,DJ268,(0.1*Loa/Depl^0.3333)^DJ$3*DJ$7)</f>
        <v>0</v>
      </c>
      <c r="DK270" s="136">
        <f>IF(SeilBeregnet=0,DK268,((Loa)/Bredde)^DK$3*DK$7)</f>
        <v>2.171861213815347</v>
      </c>
      <c r="DL270" s="110">
        <f>IF(SeilBeregnet=0,DL268,(Lwl)^DL$3)</f>
        <v>2.0739244522212745</v>
      </c>
      <c r="DM270" s="136">
        <f>IF(SeilBeregnet=0,DM268,(Dypg/Loa)^DM$3*5*DM$7)</f>
        <v>1.8574175621006712</v>
      </c>
      <c r="DO270" s="110">
        <f t="shared" si="733"/>
        <v>1.1438959029704403</v>
      </c>
      <c r="DP270" s="110">
        <f t="shared" si="1952"/>
        <v>1.0988349124858137</v>
      </c>
      <c r="DR270" s="110">
        <f t="shared" si="1953"/>
        <v>1.106283763233243</v>
      </c>
      <c r="DS270" s="125" t="str">
        <f t="shared" si="2116"/>
        <v>-</v>
      </c>
      <c r="DT270" s="110">
        <f t="shared" si="2117"/>
        <v>1.1332451489440338</v>
      </c>
      <c r="DU270" s="125" t="str">
        <f t="shared" si="2118"/>
        <v>-</v>
      </c>
      <c r="DV270" s="110">
        <f>IF(SeilBeregnet=0,DV269,SeilBeregnet^0.5/Depl^0.33333)</f>
        <v>3.3083630767938526</v>
      </c>
      <c r="DW270" s="110">
        <f>IF(SeilBeregnet=0,DW269,Lwl^0.3333)</f>
        <v>2.6445290195265336</v>
      </c>
      <c r="DX270" s="110">
        <f>IF(SeilBeregnet=0,DX269,((Loa+Lwl)/Bredde)^DX$3)</f>
        <v>1.6925961427894936</v>
      </c>
      <c r="DZ270" s="110">
        <f t="shared" si="2119"/>
        <v>1.1325817057358885</v>
      </c>
      <c r="EB270" s="110">
        <f>IF(SeilBeregnet=0,EB269,SeilBeregnet^0.5/Depl^0.33333)</f>
        <v>3.3083630767938526</v>
      </c>
      <c r="EC270" s="110">
        <f>IF(SeilBeregnet=0,EC269,Lwl^EC$3)</f>
        <v>2.6447605135392824</v>
      </c>
      <c r="ED270" s="110">
        <f>IF(SeilBeregnet=0,ED269,((Loa+Lwl)/Bredde)^ED$3)</f>
        <v>2.017006612549411</v>
      </c>
      <c r="EE270" s="110">
        <f t="shared" si="2120"/>
        <v>1.1098067964077281</v>
      </c>
      <c r="EG270" s="110">
        <f>IF(SeilBeregnet=0,EG269,(EH270*EI270)^EG$3)</f>
        <v>5.5997225827284556</v>
      </c>
      <c r="EH270" s="110">
        <f>IF(SeilBeregnet=0,EH269,SeilBeregnet^0.5/Depl^0.33333)</f>
        <v>3.3083630767938526</v>
      </c>
      <c r="EI270" s="110">
        <f>IF(SeilBeregnet=0,EI269,((Loa+Lwl)/Bredde)^EI$3)</f>
        <v>1.6925961427894936</v>
      </c>
      <c r="EJ270" s="110">
        <f>IF(SeilBeregnet=0,EJ269,Lwl^EJ$3)</f>
        <v>2.0739244522212745</v>
      </c>
      <c r="EK270" s="110">
        <f>IF(SeilBeregnet=0,"-",EK$7*(EK$4*EM:EM+EK$6)*EP:EP*PropF+ErfaringsF+Dyp_F)</f>
        <v>1.1237178975427939</v>
      </c>
      <c r="EM270" s="110">
        <f>IF(SeilBeregnet=0,EM269,(EN:EN*EO:EO)^EM$3)</f>
        <v>1.8915348608805691</v>
      </c>
      <c r="EN270" s="110">
        <f>IF(SeilBeregnet=0,EN269,SeilBeregnet^0.5/Depl^0.33333)</f>
        <v>3.3083630767938526</v>
      </c>
      <c r="EO270" s="110">
        <f>IF(SeilBeregnet=0,EO269,((Loa+Lwl)/Bredde/6)^EO$3)</f>
        <v>1.081472633709186</v>
      </c>
      <c r="EP270" s="110">
        <f>IF(SeilBeregnet=0,EP269,(Lwl*0.7+Loa*0.3)^EP$3)</f>
        <v>2.1265388832179877</v>
      </c>
      <c r="EQ270" s="110">
        <f>IF(SeilBeregnet=0,"-",EQ$7*(ES:ES+EQ$6)*EV:EV*PropF+ErfaringsF+Dyp_F)</f>
        <v>1.076606022023967</v>
      </c>
      <c r="ES270" s="110">
        <f>(ET:ET*EU:EU)^ES$3</f>
        <v>1.8916554073744367</v>
      </c>
      <c r="ET270" s="110">
        <f>IF(SeilBeregnet=0,ET269,SeilBeregnet^0.5/Depl^0.3333)</f>
        <v>3.3087847706104667</v>
      </c>
      <c r="EU270" s="110">
        <f>IF(SeilBeregnet=0,EU269,((Loa+Lwl)/Bredde/6)^EU$3)</f>
        <v>1.081472633709186</v>
      </c>
      <c r="EV270" s="110">
        <f>IF(SeilBeregnet=0,EV269,(Lwl*0.7+Loa*0.3)^EV$3)</f>
        <v>2.1265388832179877</v>
      </c>
      <c r="EW270" s="110">
        <f>IF(SeilBeregnet=0,"-",EW$7*(EY:EY+EW$6)*FB:FB*PropF+ErfaringsF+Dyp_F)</f>
        <v>1.1739876435631902</v>
      </c>
      <c r="EX270" s="144" t="str">
        <f t="shared" si="2121"/>
        <v>-</v>
      </c>
      <c r="EY270" s="110">
        <f>(EZ:EZ*FA:FA)^EY$3</f>
        <v>3.869898608493906</v>
      </c>
      <c r="EZ270" s="136">
        <f>IF(SeilBeregnet=0,EZ269,(SeilBeregnet^0.5/(Depl^0.3333))^EZ$3)</f>
        <v>3.3087847706104667</v>
      </c>
      <c r="FA270" s="136">
        <f>IF(SeilBeregnet=0,FA269,((Loa+Lwl)/Bredde/6)^FA$3)</f>
        <v>1.1695830574618833</v>
      </c>
      <c r="FB270" s="110">
        <f>IF(SeilBeregnet=0,FB269,(Lwl*0.07+Loa*0.03)^FB$3)</f>
        <v>1.195840693657608</v>
      </c>
      <c r="FC270" s="110">
        <f>IF(SeilBeregnet=0,"-",FC$7*(FE:FE+FC$6)*FI:FI*PropF+ErfaringsF+Dyp_F)</f>
        <v>1.1133840014670329</v>
      </c>
      <c r="FD270" s="144" t="str">
        <f t="shared" si="2122"/>
        <v>-</v>
      </c>
      <c r="FE270" s="110">
        <f>(FF:FF+FG:FG+FH:FH)^FE$3+FE$7</f>
        <v>5.7176467966534883</v>
      </c>
      <c r="FF270" s="136">
        <f>IF(SeilBeregnet=0,FF269,(SeilBeregnet^0.5/(Depl^0.3333))^FF$3)</f>
        <v>3.3087847706104667</v>
      </c>
      <c r="FG270" s="136">
        <f>IF(SeilBeregnet=0,FG269,(SeilBeregnet^0.5/Lwl*FG$7)^FG$3)</f>
        <v>0.737000812227674</v>
      </c>
      <c r="FH270" s="136">
        <f>IF(SeilBeregnet=0,FH269,((Loa)/Bredde)^FH$3*FH$7)</f>
        <v>2.171861213815347</v>
      </c>
      <c r="FI270" s="110">
        <f>IF(SeilBeregnet=0,FI269,(Lwl)^FI$3)</f>
        <v>2.0739244522212745</v>
      </c>
      <c r="FJ270" s="110">
        <f>IF(SeilBeregnet=0,"-",FJ$7*(FL:FL+FJ$6)*FO:FO*PropF+ErfaringsF+Dyp_F)</f>
        <v>1.1798944835175342</v>
      </c>
      <c r="FK270" s="144" t="str">
        <f t="shared" si="2123"/>
        <v>-</v>
      </c>
      <c r="FL270" s="110">
        <f>(FM:FM*FN:FN)^FL$3</f>
        <v>7.1862213081517829</v>
      </c>
      <c r="FM270" s="136">
        <f>IF(SeilBeregnet=0,FM269,(SeilBeregnet^0.5/(Depl^0.3333))^FM$3)</f>
        <v>3.3087847706104667</v>
      </c>
      <c r="FN270" s="136">
        <f>IF(SeilBeregnet=0,FN269,(Loa/Bredde)^FN$3)</f>
        <v>2.171861213815347</v>
      </c>
      <c r="FO270" s="110">
        <f>IF(SeilBeregnet=0,FO269,Lwl^FO$3)</f>
        <v>2.0739244522212745</v>
      </c>
      <c r="FQ270" s="374">
        <v>1</v>
      </c>
      <c r="FR270" s="64">
        <f t="shared" si="2124"/>
        <v>1.4233150988169265</v>
      </c>
      <c r="FS270" s="479"/>
      <c r="FT270" s="18"/>
      <c r="FU270" s="481"/>
      <c r="FV270" s="504"/>
      <c r="FW270" s="18"/>
      <c r="FX270" s="18"/>
      <c r="FY270" s="18"/>
      <c r="FZ270" s="18"/>
      <c r="GB270" s="18"/>
      <c r="GC270" s="481"/>
      <c r="GD270" s="8"/>
      <c r="GE270" s="8"/>
      <c r="GF270" s="8"/>
      <c r="GG270" s="8"/>
      <c r="GI270" s="18"/>
      <c r="GJ270" s="18"/>
      <c r="GK270" s="18"/>
      <c r="GL270" s="18"/>
      <c r="GM270" s="18"/>
      <c r="GN270" s="18"/>
      <c r="GO270" s="18"/>
      <c r="GP270" s="18"/>
    </row>
    <row r="271" spans="1:198" ht="15.6" x14ac:dyDescent="0.3">
      <c r="A271" s="62" t="s">
        <v>36</v>
      </c>
      <c r="B271" s="223"/>
      <c r="C271" s="63" t="str">
        <f t="shared" si="2133"/>
        <v>Gaffel</v>
      </c>
      <c r="D271" s="63"/>
      <c r="E271" s="63"/>
      <c r="F271" s="63"/>
      <c r="G271" s="56"/>
      <c r="H271" s="209">
        <f>TBFavrundet</f>
        <v>99.500000000000014</v>
      </c>
      <c r="I271" s="65">
        <f>COUNTA(O271:AD271)</f>
        <v>2</v>
      </c>
      <c r="J271" s="228">
        <f>SUM(O271:AD271)</f>
        <v>138</v>
      </c>
      <c r="K271" s="119">
        <f>Seilareal/Depl^0.667/K$7</f>
        <v>0.741826006790403</v>
      </c>
      <c r="L271" s="119">
        <f>Seilareal/Lwl/Lwl/L$7</f>
        <v>0.61180441035474586</v>
      </c>
      <c r="M271" s="95">
        <f>RiggF</f>
        <v>0.8449275362318841</v>
      </c>
      <c r="N271" s="265">
        <f>StHfaktor</f>
        <v>0.99519007058976183</v>
      </c>
      <c r="O271" s="147"/>
      <c r="P271" s="147"/>
      <c r="Q271" s="147"/>
      <c r="R271" s="147"/>
      <c r="S271" s="147"/>
      <c r="T271" s="169">
        <v>31</v>
      </c>
      <c r="U271" s="169">
        <v>107</v>
      </c>
      <c r="V271" s="148"/>
      <c r="W271" s="148"/>
      <c r="X271" s="148"/>
      <c r="Y271" s="147"/>
      <c r="Z271" s="147"/>
      <c r="AA271" s="147"/>
      <c r="AB271" s="147"/>
      <c r="AC271" s="147"/>
      <c r="AD271" s="148"/>
      <c r="AE271" s="260">
        <f t="shared" si="2125"/>
        <v>17.8</v>
      </c>
      <c r="AF271" s="375">
        <f t="shared" si="2126"/>
        <v>0</v>
      </c>
      <c r="AG271" s="377"/>
      <c r="AH271" s="375">
        <f t="shared" si="2126"/>
        <v>0</v>
      </c>
      <c r="AI271" s="377"/>
      <c r="AJ271" s="295" t="str">
        <f t="shared" ref="AJ271" si="2146" xml:space="preserve"> AJ270</f>
        <v>Meter</v>
      </c>
      <c r="AK271" s="47">
        <f>VLOOKUP(AJ271,Skrogform!$1:$1048576,3,FALSE)</f>
        <v>1</v>
      </c>
      <c r="AL271" s="66">
        <f t="shared" ref="AL271:AT271" si="2147">AL270</f>
        <v>25</v>
      </c>
      <c r="AM271" s="66">
        <f t="shared" si="2147"/>
        <v>18.5</v>
      </c>
      <c r="AN271" s="66">
        <f t="shared" si="2147"/>
        <v>5.3</v>
      </c>
      <c r="AO271" s="66">
        <f t="shared" si="2147"/>
        <v>3.45</v>
      </c>
      <c r="AP271" s="66">
        <f t="shared" si="2147"/>
        <v>70</v>
      </c>
      <c r="AQ271" s="66">
        <f t="shared" si="2147"/>
        <v>25</v>
      </c>
      <c r="AR271" s="66">
        <f t="shared" si="2147"/>
        <v>0</v>
      </c>
      <c r="AS271" s="284">
        <f t="shared" si="2147"/>
        <v>284</v>
      </c>
      <c r="AT271" s="284">
        <f t="shared" si="2147"/>
        <v>1000</v>
      </c>
      <c r="AU271" s="284">
        <f t="shared" ref="AU271:AV271" si="2148">AU270</f>
        <v>700</v>
      </c>
      <c r="AV271" s="284">
        <f t="shared" si="2148"/>
        <v>700</v>
      </c>
      <c r="AW271" s="284"/>
      <c r="AX271" s="284">
        <f>AX270</f>
        <v>0</v>
      </c>
      <c r="AY271" s="68"/>
      <c r="AZ271" s="68"/>
      <c r="BA271" s="289"/>
      <c r="BB271" s="68"/>
      <c r="BC271" s="179"/>
      <c r="BD271" s="68"/>
      <c r="BE271" s="68"/>
      <c r="BF271" s="67" t="str">
        <f t="shared" ref="BF271:BH271" si="2149" xml:space="preserve"> BF270</f>
        <v>Fast</v>
      </c>
      <c r="BG271" s="295">
        <f t="shared" si="2149"/>
        <v>5</v>
      </c>
      <c r="BH271" s="295">
        <f t="shared" si="2149"/>
        <v>81</v>
      </c>
      <c r="BI271" s="47">
        <f t="shared" si="1903"/>
        <v>0.97805547321272501</v>
      </c>
      <c r="BJ271" s="61"/>
      <c r="BK271" s="61"/>
      <c r="BM271" s="51">
        <f t="shared" si="2131"/>
        <v>0</v>
      </c>
      <c r="BN271" s="51">
        <f t="shared" si="2131"/>
        <v>0</v>
      </c>
      <c r="BO271" s="51">
        <f t="shared" si="2131"/>
        <v>0</v>
      </c>
      <c r="BP271" s="51">
        <f t="shared" si="2131"/>
        <v>0</v>
      </c>
      <c r="BQ271" s="51">
        <f t="shared" si="2131"/>
        <v>0</v>
      </c>
      <c r="BR271" s="51">
        <f t="shared" si="2131"/>
        <v>31</v>
      </c>
      <c r="BS271" s="52">
        <f>IF(COUNT(P271:T271)&gt;1,MINA(P271:T271)*BS$9,0)</f>
        <v>0</v>
      </c>
      <c r="BT271" s="88">
        <f t="shared" si="2132"/>
        <v>85.600000000000009</v>
      </c>
      <c r="BU271" s="88">
        <f t="shared" si="2132"/>
        <v>0</v>
      </c>
      <c r="BV271" s="88">
        <f t="shared" si="2132"/>
        <v>0</v>
      </c>
      <c r="BW271" s="88">
        <f t="shared" si="2132"/>
        <v>0</v>
      </c>
      <c r="BX271" s="88">
        <f t="shared" si="2132"/>
        <v>0</v>
      </c>
      <c r="BY271" s="88">
        <f t="shared" si="2132"/>
        <v>0</v>
      </c>
      <c r="BZ271" s="88">
        <f t="shared" si="2132"/>
        <v>0</v>
      </c>
      <c r="CA271" s="88">
        <f t="shared" si="2132"/>
        <v>0</v>
      </c>
      <c r="CB271" s="88">
        <f t="shared" si="2132"/>
        <v>0</v>
      </c>
      <c r="CC271" s="88">
        <f t="shared" si="2132"/>
        <v>0</v>
      </c>
      <c r="CD271" s="103">
        <f>SUM(BM271:CC271)</f>
        <v>116.60000000000001</v>
      </c>
      <c r="CE271" s="52"/>
      <c r="CF271" s="107">
        <f>J271</f>
        <v>138</v>
      </c>
      <c r="CG271" s="104">
        <f>CD271/CF271</f>
        <v>0.8449275362318841</v>
      </c>
      <c r="CH271" s="53">
        <f>Seilareal/Lwl/Lwl</f>
        <v>0.40321402483564645</v>
      </c>
      <c r="CI271" s="119">
        <f>Seilareal/Depl^0.667/K$7</f>
        <v>0.741826006790403</v>
      </c>
      <c r="CJ271" s="53">
        <f>Seilareal/Lwl/Lwl/SApRS1</f>
        <v>0.61180441035474586</v>
      </c>
      <c r="CK271" s="209"/>
      <c r="CL271" s="209">
        <f>(ROUND(TBF/CL$6,3)*CL$6)*CL$4</f>
        <v>99.500000000000014</v>
      </c>
      <c r="CM271" s="110">
        <f t="shared" si="1772"/>
        <v>0.99697053885013531</v>
      </c>
      <c r="CN271" s="64">
        <f>IF(SeilBeregnet=0,"-",(SeilBeregnet)^(1/2)*StHfaktor/(Depl+DeplTillegg/1000+Vann/1000+Diesel/1000*0.84)^(1/3))</f>
        <v>2.5892715158268866</v>
      </c>
      <c r="CO271" s="64">
        <f t="shared" si="1759"/>
        <v>2.0257772791957316</v>
      </c>
      <c r="CP271" s="64">
        <f t="shared" si="1760"/>
        <v>2.0739244522212745</v>
      </c>
      <c r="CQ271" s="110">
        <f t="shared" si="1761"/>
        <v>0.99519007058976183</v>
      </c>
      <c r="CR271" s="172" t="str">
        <f t="shared" si="2112"/>
        <v>-</v>
      </c>
      <c r="CS271" s="162"/>
      <c r="CT271" s="172" t="str">
        <f t="shared" si="2113"/>
        <v>-</v>
      </c>
      <c r="CU271" s="164"/>
      <c r="CV271" s="195" t="s">
        <v>145</v>
      </c>
      <c r="CW271" s="64">
        <v>1.1599999999999999</v>
      </c>
      <c r="CX271" s="64">
        <v>1.04</v>
      </c>
      <c r="CY271" s="64">
        <v>1.1000000000000001</v>
      </c>
      <c r="CZ271" s="154">
        <v>1.1599999999999999</v>
      </c>
      <c r="DA271" s="64">
        <f t="shared" si="1951"/>
        <v>2.0384666167167156</v>
      </c>
      <c r="DB271" s="49">
        <f t="shared" si="1904"/>
        <v>13.911290322580646</v>
      </c>
      <c r="DC271" s="171"/>
      <c r="DE271" s="110">
        <f>IF(SeilBeregnet=0,"-",DE$7*(DG:DG+DE$6)*DL:DL*PropF+ErfaringsF+Dyp_F)</f>
        <v>0.98180224664307603</v>
      </c>
      <c r="DF271" s="144" t="str">
        <f t="shared" si="2114"/>
        <v>-</v>
      </c>
      <c r="DG271" s="110">
        <f t="shared" si="2115"/>
        <v>4.7923246149181065</v>
      </c>
      <c r="DH271" s="136">
        <f>IF(SeilBeregnet=0,DH269,(SeilBeregnet^0.5/(Depl^0.3333))^DH$3*DH$7)</f>
        <v>2.6204634011027599</v>
      </c>
      <c r="DI271" s="136">
        <f>IF(SeilBeregnet=0,DI269,(SeilBeregnet^0.5/Lwl)^DI$3*DI$7)</f>
        <v>0</v>
      </c>
      <c r="DJ271" s="136">
        <f>IF(SeilBeregnet=0,DJ269,(0.1*Loa/Depl^0.3333)^DJ$3*DJ$7)</f>
        <v>0</v>
      </c>
      <c r="DK271" s="136">
        <f>IF(SeilBeregnet=0,DK269,((Loa)/Bredde)^DK$3*DK$7)</f>
        <v>2.171861213815347</v>
      </c>
      <c r="DL271" s="110">
        <f>IF(SeilBeregnet=0,DL269,(Lwl)^DL$3)</f>
        <v>2.0739244522212745</v>
      </c>
      <c r="DM271" s="136">
        <f>IF(SeilBeregnet=0,DM269,(Dypg/Loa)^DM$3*5*DM$7)</f>
        <v>1.8574175621006712</v>
      </c>
      <c r="DO271" s="110">
        <f t="shared" si="733"/>
        <v>0.9969705388501352</v>
      </c>
      <c r="DP271" s="110">
        <f t="shared" si="1952"/>
        <v>0.91129242993520088</v>
      </c>
      <c r="DR271" s="110">
        <f t="shared" si="1953"/>
        <v>0.94602767057810444</v>
      </c>
      <c r="DS271" s="125" t="str">
        <f t="shared" si="2116"/>
        <v>-</v>
      </c>
      <c r="DT271" s="110">
        <f t="shared" si="2117"/>
        <v>0.94442923517933219</v>
      </c>
      <c r="DU271" s="125" t="str">
        <f t="shared" si="2118"/>
        <v>-</v>
      </c>
      <c r="DV271" s="110">
        <f>IF(SeilBeregnet=0,DV270,SeilBeregnet^0.5/Depl^0.33333)</f>
        <v>2.620129431597483</v>
      </c>
      <c r="DW271" s="110">
        <f>IF(SeilBeregnet=0,DW270,Lwl^0.3333)</f>
        <v>2.6445290195265336</v>
      </c>
      <c r="DX271" s="110">
        <f>IF(SeilBeregnet=0,DX270,((Loa+Lwl)/Bredde)^DX$3)</f>
        <v>1.6925961427894936</v>
      </c>
      <c r="DZ271" s="110">
        <f t="shared" si="2119"/>
        <v>0.95774565954781288</v>
      </c>
      <c r="EB271" s="110">
        <f>IF(SeilBeregnet=0,EB270,SeilBeregnet^0.5/Depl^0.33333)</f>
        <v>2.620129431597483</v>
      </c>
      <c r="EC271" s="110">
        <f>IF(SeilBeregnet=0,EC270,Lwl^EC$3)</f>
        <v>2.6447605135392824</v>
      </c>
      <c r="ED271" s="110">
        <f>IF(SeilBeregnet=0,ED270,((Loa+Lwl)/Bredde)^ED$3)</f>
        <v>2.017006612549411</v>
      </c>
      <c r="EE271" s="110">
        <f t="shared" si="2120"/>
        <v>0.93969325431464623</v>
      </c>
      <c r="EG271" s="110">
        <f>IF(SeilBeregnet=0,EG270,(EH271*EI271)^EG$3)</f>
        <v>4.4348209695311276</v>
      </c>
      <c r="EH271" s="110">
        <f>IF(SeilBeregnet=0,EH270,SeilBeregnet^0.5/Depl^0.33333)</f>
        <v>2.620129431597483</v>
      </c>
      <c r="EI271" s="110">
        <f>IF(SeilBeregnet=0,EI270,((Loa+Lwl)/Bredde)^EI$3)</f>
        <v>1.6925961427894936</v>
      </c>
      <c r="EJ271" s="110">
        <f>IF(SeilBeregnet=0,EJ270,Lwl^EJ$3)</f>
        <v>2.0739244522212745</v>
      </c>
      <c r="EK271" s="110">
        <f>IF(SeilBeregnet=0,"-",EK$7*(EK$4*EM:EM+EK$6)*EP:EP*PropF+ErfaringsF+Dyp_F)</f>
        <v>0.95558408134803108</v>
      </c>
      <c r="EM271" s="110">
        <f>IF(SeilBeregnet=0,EM270,(EN:EN*EO:EO)^EM$3)</f>
        <v>1.6833295212312658</v>
      </c>
      <c r="EN271" s="110">
        <f>IF(SeilBeregnet=0,EN270,SeilBeregnet^0.5/Depl^0.33333)</f>
        <v>2.620129431597483</v>
      </c>
      <c r="EO271" s="110">
        <f>IF(SeilBeregnet=0,EO270,((Loa+Lwl)/Bredde/6)^EO$3)</f>
        <v>1.081472633709186</v>
      </c>
      <c r="EP271" s="110">
        <f>IF(SeilBeregnet=0,EP270,(Lwl*0.7+Loa*0.3)^EP$3)</f>
        <v>2.1265388832179877</v>
      </c>
      <c r="EQ271" s="110">
        <f>IF(SeilBeregnet=0,"-",EQ$7*(ES:ES+EQ$6)*EV:EV*PropF+ErfaringsF+Dyp_F)</f>
        <v>0.95810166499634442</v>
      </c>
      <c r="ES271" s="110">
        <f>(ET:ET*EU:EU)^ES$3</f>
        <v>1.6834367989114212</v>
      </c>
      <c r="ET271" s="110">
        <f>IF(SeilBeregnet=0,ET270,SeilBeregnet^0.5/Depl^0.3333)</f>
        <v>2.6204634011027599</v>
      </c>
      <c r="EU271" s="110">
        <f>IF(SeilBeregnet=0,EU270,((Loa+Lwl)/Bredde/6)^EU$3)</f>
        <v>1.081472633709186</v>
      </c>
      <c r="EV271" s="110">
        <f>IF(SeilBeregnet=0,EV270,(Lwl*0.7+Loa*0.3)^EV$3)</f>
        <v>2.1265388832179877</v>
      </c>
      <c r="EW271" s="110">
        <f>IF(SeilBeregnet=0,"-",EW$7*(EY:EY+EW$6)*FB:FB*PropF+ErfaringsF+Dyp_F)</f>
        <v>1.0129767547166846</v>
      </c>
      <c r="EX271" s="144" t="str">
        <f t="shared" si="2121"/>
        <v>-</v>
      </c>
      <c r="EY271" s="110">
        <f>(EZ:EZ*FA:FA)^EY$3</f>
        <v>3.0648495966287315</v>
      </c>
      <c r="EZ271" s="136">
        <f>IF(SeilBeregnet=0,EZ270,(SeilBeregnet^0.5/(Depl^0.3333))^EZ$3)</f>
        <v>2.6204634011027599</v>
      </c>
      <c r="FA271" s="136">
        <f>IF(SeilBeregnet=0,FA270,((Loa+Lwl)/Bredde/6)^FA$3)</f>
        <v>1.1695830574618833</v>
      </c>
      <c r="FB271" s="110">
        <f>IF(SeilBeregnet=0,FB270,(Lwl*0.07+Loa*0.03)^FB$3)</f>
        <v>1.195840693657608</v>
      </c>
      <c r="FC271" s="110">
        <f>IF(SeilBeregnet=0,"-",FC$7*(FE:FE+FC$6)*FI:FI*PropF+ErfaringsF+Dyp_F)</f>
        <v>0.94949370155297885</v>
      </c>
      <c r="FD271" s="144" t="str">
        <f t="shared" si="2122"/>
        <v>-</v>
      </c>
      <c r="FE271" s="110">
        <f>(FF:FF+FG:FG+FH:FH)^FE$3+FE$7</f>
        <v>4.8760082900183486</v>
      </c>
      <c r="FF271" s="136">
        <f>IF(SeilBeregnet=0,FF270,(SeilBeregnet^0.5/(Depl^0.3333))^FF$3)</f>
        <v>2.6204634011027599</v>
      </c>
      <c r="FG271" s="136">
        <f>IF(SeilBeregnet=0,FG270,(SeilBeregnet^0.5/Lwl*FG$7)^FG$3)</f>
        <v>0.58368367510024166</v>
      </c>
      <c r="FH271" s="136">
        <f>IF(SeilBeregnet=0,FH270,((Loa)/Bredde)^FH$3*FH$7)</f>
        <v>2.171861213815347</v>
      </c>
      <c r="FI271" s="110">
        <f>IF(SeilBeregnet=0,FI270,(Lwl)^FI$3)</f>
        <v>2.0739244522212745</v>
      </c>
      <c r="FJ271" s="110">
        <f>IF(SeilBeregnet=0,"-",FJ$7*(FL:FL+FJ$6)*FO:FO*PropF+ErfaringsF+Dyp_F)</f>
        <v>1.0222121327802445</v>
      </c>
      <c r="FK271" s="144" t="str">
        <f t="shared" si="2123"/>
        <v>-</v>
      </c>
      <c r="FL271" s="110">
        <f>(FM:FM*FN:FN)^FL$3</f>
        <v>5.6912828230777324</v>
      </c>
      <c r="FM271" s="136">
        <f>IF(SeilBeregnet=0,FM270,(SeilBeregnet^0.5/(Depl^0.3333))^FM$3)</f>
        <v>2.6204634011027599</v>
      </c>
      <c r="FN271" s="136">
        <f>IF(SeilBeregnet=0,FN270,(Loa/Bredde)^FN$3)</f>
        <v>2.171861213815347</v>
      </c>
      <c r="FO271" s="110">
        <f>IF(SeilBeregnet=0,FO270,Lwl^FO$3)</f>
        <v>2.0739244522212745</v>
      </c>
      <c r="FQ271" s="374">
        <v>1</v>
      </c>
      <c r="FR271" s="64">
        <f t="shared" si="2124"/>
        <v>1.2898163889140568</v>
      </c>
      <c r="FS271" s="479"/>
      <c r="FT271" s="18"/>
      <c r="FU271" s="481"/>
      <c r="FV271" s="504"/>
      <c r="FW271" s="18"/>
      <c r="FX271" s="18"/>
      <c r="FY271" s="18"/>
      <c r="FZ271" s="18"/>
      <c r="GB271" s="18"/>
      <c r="GC271" s="481"/>
      <c r="GD271" s="8"/>
      <c r="GE271" s="8"/>
      <c r="GF271" s="8"/>
      <c r="GG271" s="8"/>
      <c r="GI271" s="18"/>
      <c r="GJ271" s="18"/>
      <c r="GK271" s="18"/>
      <c r="GL271" s="18"/>
      <c r="GM271" s="18"/>
      <c r="GN271" s="18"/>
      <c r="GO271" s="18"/>
      <c r="GP271" s="18"/>
    </row>
    <row r="272" spans="1:198" ht="15.6" x14ac:dyDescent="0.3">
      <c r="A272" s="62"/>
      <c r="B272" s="223"/>
      <c r="G272" s="41"/>
      <c r="H272" s="209"/>
      <c r="I272" s="112"/>
      <c r="J272" s="229"/>
      <c r="K272" s="119"/>
      <c r="L272" s="119"/>
      <c r="M272" s="95"/>
      <c r="N272" s="265"/>
      <c r="O272" s="113"/>
      <c r="P272" s="113"/>
      <c r="Q272" s="113"/>
      <c r="R272" s="113"/>
      <c r="S272" s="113"/>
      <c r="T272" s="315"/>
      <c r="U272" s="113"/>
      <c r="V272" s="113"/>
      <c r="W272" s="113"/>
      <c r="X272" s="113"/>
      <c r="Y272" s="113"/>
      <c r="Z272" s="113"/>
      <c r="AA272" s="113"/>
      <c r="AB272" s="315"/>
      <c r="AC272" s="113"/>
      <c r="AD272" s="113" t="s">
        <v>145</v>
      </c>
      <c r="AE272" s="10" t="s">
        <v>145</v>
      </c>
      <c r="AF272" s="293" t="s">
        <v>145</v>
      </c>
      <c r="AG272" s="10" t="s">
        <v>145</v>
      </c>
      <c r="AH272" s="293" t="s">
        <v>145</v>
      </c>
      <c r="AI272" s="10" t="s">
        <v>145</v>
      </c>
      <c r="AJ272" s="293" t="s">
        <v>145</v>
      </c>
      <c r="AK272" s="10" t="s">
        <v>145</v>
      </c>
      <c r="AL272" s="52"/>
      <c r="AM272" s="52"/>
      <c r="AN272" s="52"/>
      <c r="AO272" s="52"/>
      <c r="AP272" s="52"/>
      <c r="AQ272" s="52"/>
      <c r="AR272" s="52"/>
      <c r="AS272" s="316"/>
      <c r="AT272" s="316"/>
      <c r="AU272" s="316"/>
      <c r="AV272" s="316"/>
      <c r="AW272" s="316"/>
      <c r="AX272" s="316"/>
      <c r="AY272" s="68"/>
      <c r="AZ272" s="68"/>
      <c r="BA272" s="317"/>
      <c r="BB272" s="68"/>
      <c r="BC272" s="68"/>
      <c r="BD272" s="68"/>
      <c r="BE272" s="68"/>
      <c r="BF272" s="44"/>
      <c r="BG272" s="293"/>
      <c r="BH272" s="293"/>
      <c r="BI272" s="10"/>
      <c r="BJ272" s="10"/>
      <c r="BK272" s="10"/>
      <c r="BM272" s="114"/>
      <c r="BN272" s="114"/>
      <c r="BO272" s="114"/>
      <c r="BP272" s="114"/>
      <c r="BQ272" s="114"/>
      <c r="BR272" s="114"/>
      <c r="BS272" s="52"/>
      <c r="BT272" s="113"/>
      <c r="BU272" s="113"/>
      <c r="BV272" s="113"/>
      <c r="BW272" s="113"/>
      <c r="BX272" s="113"/>
      <c r="BY272" s="113"/>
      <c r="BZ272" s="113"/>
      <c r="CA272" s="113"/>
      <c r="CB272" s="113"/>
      <c r="CC272" s="113"/>
      <c r="CD272" s="103"/>
      <c r="CE272" s="52"/>
      <c r="CF272" s="115"/>
      <c r="CG272" s="116"/>
      <c r="CH272" s="117"/>
      <c r="CI272" s="119"/>
      <c r="CJ272" s="117"/>
      <c r="CK272" s="209"/>
      <c r="CL272" s="209"/>
      <c r="CM272" s="110"/>
      <c r="CN272" s="64"/>
      <c r="CO272" s="64"/>
      <c r="CP272" s="64"/>
      <c r="CQ272" s="110"/>
      <c r="CR272" s="172"/>
      <c r="CS272" s="163"/>
      <c r="CT272" s="172"/>
      <c r="CU272" s="318"/>
      <c r="CV272" s="319"/>
      <c r="CW272" s="64"/>
      <c r="CX272" s="64"/>
      <c r="CY272" s="64"/>
      <c r="CZ272" s="154"/>
      <c r="DA272" s="64"/>
      <c r="DB272" s="49"/>
      <c r="DC272" s="50"/>
      <c r="DE272" s="110"/>
      <c r="DF272" s="144"/>
      <c r="DG272" s="110"/>
      <c r="DH272" s="136"/>
      <c r="DI272" s="136"/>
      <c r="DJ272" s="136"/>
      <c r="DK272" s="136"/>
      <c r="DL272" s="110"/>
      <c r="DM272" s="136"/>
      <c r="DO272" s="110"/>
      <c r="DP272" s="110"/>
      <c r="DR272" s="110"/>
      <c r="DS272" s="125"/>
      <c r="DT272" s="110"/>
      <c r="DU272" s="125"/>
      <c r="DV272" s="110"/>
      <c r="DW272" s="110"/>
      <c r="DX272" s="110"/>
      <c r="DZ272" s="110"/>
      <c r="EB272" s="110"/>
      <c r="EC272" s="110"/>
      <c r="ED272" s="110"/>
      <c r="EE272" s="110"/>
      <c r="EG272" s="110"/>
      <c r="EH272" s="110"/>
      <c r="EI272" s="110"/>
      <c r="EJ272" s="110"/>
      <c r="EK272" s="110"/>
      <c r="EM272" s="110"/>
      <c r="EN272" s="110"/>
      <c r="EO272" s="110"/>
      <c r="EP272" s="110"/>
      <c r="EQ272" s="110"/>
      <c r="ES272" s="110"/>
      <c r="ET272" s="110"/>
      <c r="EU272" s="110"/>
      <c r="EV272" s="110"/>
      <c r="EW272" s="110"/>
      <c r="EX272" s="144"/>
      <c r="EY272" s="110"/>
      <c r="EZ272" s="136"/>
      <c r="FA272" s="136"/>
      <c r="FB272" s="110"/>
      <c r="FC272" s="110"/>
      <c r="FD272" s="144"/>
      <c r="FE272" s="110"/>
      <c r="FF272" s="136"/>
      <c r="FG272" s="136"/>
      <c r="FH272" s="136"/>
      <c r="FI272" s="110"/>
      <c r="FJ272" s="110"/>
      <c r="FK272" s="144"/>
      <c r="FL272" s="110"/>
      <c r="FM272" s="136"/>
      <c r="FN272" s="136"/>
      <c r="FO272" s="110"/>
      <c r="FR272" s="110"/>
    </row>
    <row r="273" spans="1:174" ht="15.6" x14ac:dyDescent="0.3">
      <c r="A273" s="62"/>
      <c r="B273" s="223"/>
      <c r="G273" s="41"/>
      <c r="H273" s="209"/>
      <c r="I273" s="112"/>
      <c r="J273" s="229"/>
      <c r="K273" s="119"/>
      <c r="L273" s="119"/>
      <c r="M273" s="95"/>
      <c r="N273" s="265"/>
      <c r="O273" s="113"/>
      <c r="P273" s="113"/>
      <c r="Q273" s="113"/>
      <c r="R273" s="113"/>
      <c r="S273" s="113"/>
      <c r="T273" s="315"/>
      <c r="U273" s="113"/>
      <c r="V273" s="113"/>
      <c r="W273" s="113"/>
      <c r="X273" s="113"/>
      <c r="Y273" s="113"/>
      <c r="Z273" s="113"/>
      <c r="AA273" s="113"/>
      <c r="AB273" s="315"/>
      <c r="AC273" s="113"/>
      <c r="AD273" s="113"/>
      <c r="AE273" s="10"/>
      <c r="AF273" s="293"/>
      <c r="AG273" s="10"/>
      <c r="AH273" s="293"/>
      <c r="AI273" s="10"/>
      <c r="AJ273" s="293"/>
      <c r="AK273" s="10"/>
      <c r="AL273" s="52"/>
      <c r="AM273" s="52"/>
      <c r="AN273" s="52"/>
      <c r="AO273" s="52"/>
      <c r="AP273" s="52"/>
      <c r="AQ273" s="52"/>
      <c r="AR273" s="52"/>
      <c r="AS273" s="316"/>
      <c r="AT273" s="316"/>
      <c r="AU273" s="316"/>
      <c r="AV273" s="316"/>
      <c r="AW273" s="316"/>
      <c r="AX273" s="316"/>
      <c r="AY273" s="68"/>
      <c r="AZ273" s="68"/>
      <c r="BA273" s="317"/>
      <c r="BB273" s="68"/>
      <c r="BC273" s="68"/>
      <c r="BD273" s="68"/>
      <c r="BE273" s="68"/>
      <c r="BF273" s="44"/>
      <c r="BG273" s="293"/>
      <c r="BH273" s="293"/>
      <c r="BI273" s="10"/>
      <c r="BJ273" s="10"/>
      <c r="BK273" s="10"/>
      <c r="BM273" s="114"/>
      <c r="BN273" s="114"/>
      <c r="BO273" s="114"/>
      <c r="BP273" s="114"/>
      <c r="BQ273" s="114"/>
      <c r="BR273" s="114"/>
      <c r="BS273" s="52"/>
      <c r="BT273" s="113"/>
      <c r="BU273" s="113"/>
      <c r="BV273" s="113"/>
      <c r="BW273" s="113"/>
      <c r="BX273" s="113"/>
      <c r="BY273" s="113"/>
      <c r="BZ273" s="113"/>
      <c r="CA273" s="113"/>
      <c r="CB273" s="113"/>
      <c r="CC273" s="113"/>
      <c r="CD273" s="103"/>
      <c r="CE273" s="52"/>
      <c r="CF273" s="115"/>
      <c r="CG273" s="116"/>
      <c r="CH273" s="117"/>
      <c r="CI273" s="119"/>
      <c r="CJ273" s="117"/>
      <c r="CK273" s="209"/>
      <c r="CL273" s="209"/>
      <c r="CM273" s="110"/>
      <c r="CN273" s="64"/>
      <c r="CO273" s="64"/>
      <c r="CP273" s="64"/>
      <c r="CQ273" s="110"/>
      <c r="CR273" s="172"/>
      <c r="CS273" s="163"/>
      <c r="CT273" s="172"/>
      <c r="CU273" s="318"/>
      <c r="CV273" s="319"/>
      <c r="CW273" s="64"/>
      <c r="CX273" s="64"/>
      <c r="CY273" s="64"/>
      <c r="CZ273" s="154"/>
      <c r="DA273" s="64"/>
      <c r="DB273" s="49"/>
      <c r="DC273" s="50"/>
      <c r="DE273" s="110"/>
      <c r="DF273" s="144"/>
      <c r="DG273" s="110"/>
      <c r="DH273" s="136"/>
      <c r="DI273" s="136"/>
      <c r="DJ273" s="136"/>
      <c r="DK273" s="136"/>
      <c r="DL273" s="110"/>
      <c r="DM273" s="136"/>
      <c r="DO273" s="110"/>
      <c r="DP273" s="110"/>
      <c r="DR273" s="110"/>
      <c r="DS273" s="125"/>
      <c r="DT273" s="110"/>
      <c r="DU273" s="125"/>
      <c r="DV273" s="110"/>
      <c r="DW273" s="110"/>
      <c r="DX273" s="110"/>
      <c r="DZ273" s="110"/>
      <c r="EB273" s="110"/>
      <c r="EC273" s="110"/>
      <c r="ED273" s="110"/>
      <c r="EE273" s="110"/>
      <c r="EG273" s="110"/>
      <c r="EH273" s="110"/>
      <c r="EI273" s="110"/>
      <c r="EJ273" s="110"/>
      <c r="EK273" s="110"/>
      <c r="EM273" s="110"/>
      <c r="EN273" s="110"/>
      <c r="EO273" s="110"/>
      <c r="EP273" s="110"/>
      <c r="EQ273" s="110"/>
      <c r="ES273" s="110"/>
      <c r="ET273" s="110"/>
      <c r="EU273" s="110"/>
      <c r="EV273" s="110"/>
      <c r="EW273" s="110"/>
      <c r="EX273" s="144"/>
      <c r="EY273" s="110"/>
      <c r="EZ273" s="136"/>
      <c r="FA273" s="136"/>
      <c r="FB273" s="110"/>
      <c r="FC273" s="110"/>
      <c r="FD273" s="144"/>
      <c r="FE273" s="110"/>
      <c r="FF273" s="136"/>
      <c r="FG273" s="136"/>
      <c r="FH273" s="136"/>
      <c r="FI273" s="110"/>
      <c r="FJ273" s="110"/>
      <c r="FK273" s="144"/>
      <c r="FL273" s="110"/>
      <c r="FM273" s="136"/>
      <c r="FN273" s="136"/>
      <c r="FO273" s="110"/>
      <c r="FR273" s="110"/>
    </row>
    <row r="274" spans="1:174" ht="15.6" x14ac:dyDescent="0.3">
      <c r="A274" s="62"/>
      <c r="B274" s="223"/>
      <c r="G274" s="41"/>
      <c r="H274" s="209"/>
      <c r="I274" s="112"/>
      <c r="J274" s="229"/>
      <c r="K274" s="119"/>
      <c r="L274" s="119"/>
      <c r="M274" s="95"/>
      <c r="N274" s="265"/>
      <c r="O274" s="113"/>
      <c r="P274" s="113"/>
      <c r="Q274" s="113"/>
      <c r="R274" s="113"/>
      <c r="S274" s="113"/>
      <c r="T274" s="315"/>
      <c r="U274" s="113"/>
      <c r="V274" s="113"/>
      <c r="W274" s="113"/>
      <c r="X274" s="113"/>
      <c r="Y274" s="113"/>
      <c r="Z274" s="113"/>
      <c r="AA274" s="113"/>
      <c r="AB274" s="315"/>
      <c r="AC274" s="113"/>
      <c r="AD274" s="113"/>
      <c r="AE274" s="10"/>
      <c r="AF274" s="293"/>
      <c r="AG274" s="10"/>
      <c r="AH274" s="293"/>
      <c r="AI274" s="10"/>
      <c r="AJ274" s="293"/>
      <c r="AK274" s="10"/>
      <c r="AL274" s="52"/>
      <c r="AM274" s="52"/>
      <c r="AN274" s="52"/>
      <c r="AO274" s="52"/>
      <c r="AP274" s="52"/>
      <c r="AQ274" s="52"/>
      <c r="AR274" s="52"/>
      <c r="AS274" s="316"/>
      <c r="AT274" s="316"/>
      <c r="AU274" s="316"/>
      <c r="AV274" s="316"/>
      <c r="AW274" s="316"/>
      <c r="AX274" s="316"/>
      <c r="AY274" s="68"/>
      <c r="AZ274" s="68"/>
      <c r="BA274" s="317"/>
      <c r="BB274" s="68"/>
      <c r="BC274" s="68"/>
      <c r="BD274" s="68"/>
      <c r="BE274" s="68"/>
      <c r="BF274" s="44"/>
      <c r="BG274" s="293"/>
      <c r="BH274" s="293"/>
      <c r="BI274" s="10"/>
      <c r="BJ274" s="10"/>
      <c r="BK274" s="10"/>
      <c r="BM274" s="114"/>
      <c r="BN274" s="114"/>
      <c r="BO274" s="114"/>
      <c r="BP274" s="114"/>
      <c r="BQ274" s="114"/>
      <c r="BR274" s="114"/>
      <c r="BS274" s="52"/>
      <c r="BT274" s="113"/>
      <c r="BU274" s="113"/>
      <c r="BV274" s="113"/>
      <c r="BW274" s="113"/>
      <c r="BX274" s="113"/>
      <c r="BY274" s="113"/>
      <c r="BZ274" s="113"/>
      <c r="CA274" s="113"/>
      <c r="CB274" s="113"/>
      <c r="CC274" s="113"/>
      <c r="CD274" s="103"/>
      <c r="CE274" s="52"/>
      <c r="CF274" s="115"/>
      <c r="CG274" s="116"/>
      <c r="CH274" s="117"/>
      <c r="CI274" s="119"/>
      <c r="CJ274" s="117"/>
      <c r="CK274" s="209"/>
      <c r="CL274" s="209"/>
      <c r="CM274" s="110"/>
      <c r="CN274" s="64"/>
      <c r="CO274" s="64"/>
      <c r="CP274" s="64"/>
      <c r="CQ274" s="110"/>
      <c r="CR274" s="172"/>
      <c r="CS274" s="163"/>
      <c r="CT274" s="172"/>
      <c r="CU274" s="318"/>
      <c r="CV274" s="319"/>
      <c r="CW274" s="64"/>
      <c r="CX274" s="64"/>
      <c r="CY274" s="64"/>
      <c r="CZ274" s="154"/>
      <c r="DA274" s="64"/>
      <c r="DB274" s="49"/>
      <c r="DC274" s="50"/>
      <c r="DE274" s="110"/>
      <c r="DF274" s="144"/>
      <c r="DG274" s="110"/>
      <c r="DH274" s="136"/>
      <c r="DI274" s="136"/>
      <c r="DJ274" s="136"/>
      <c r="DK274" s="136"/>
      <c r="DL274" s="110"/>
      <c r="DM274" s="136"/>
      <c r="DO274" s="110"/>
      <c r="DP274" s="110"/>
      <c r="DR274" s="110"/>
      <c r="DS274" s="125"/>
      <c r="DT274" s="110"/>
      <c r="DU274" s="125"/>
      <c r="DV274" s="110"/>
      <c r="DW274" s="110"/>
      <c r="DX274" s="110"/>
      <c r="DZ274" s="110"/>
      <c r="EB274" s="110"/>
      <c r="EC274" s="110"/>
      <c r="ED274" s="110"/>
      <c r="EE274" s="110"/>
      <c r="EG274" s="110"/>
      <c r="EH274" s="110"/>
      <c r="EI274" s="110"/>
      <c r="EJ274" s="110"/>
      <c r="EK274" s="110"/>
      <c r="EM274" s="110"/>
      <c r="EN274" s="110"/>
      <c r="EO274" s="110"/>
      <c r="EP274" s="110"/>
      <c r="EQ274" s="110"/>
      <c r="ES274" s="110"/>
      <c r="ET274" s="110"/>
      <c r="EU274" s="110"/>
      <c r="EV274" s="110"/>
      <c r="EW274" s="110"/>
      <c r="EX274" s="144"/>
      <c r="EY274" s="110"/>
      <c r="EZ274" s="136"/>
      <c r="FA274" s="136"/>
      <c r="FB274" s="110"/>
      <c r="FC274" s="110"/>
      <c r="FD274" s="144"/>
      <c r="FE274" s="110"/>
      <c r="FF274" s="136"/>
      <c r="FG274" s="136"/>
      <c r="FH274" s="136"/>
      <c r="FI274" s="110"/>
      <c r="FJ274" s="110"/>
      <c r="FK274" s="144"/>
      <c r="FL274" s="110"/>
      <c r="FM274" s="136"/>
      <c r="FN274" s="136"/>
      <c r="FO274" s="110"/>
      <c r="FR274" s="110"/>
    </row>
    <row r="275" spans="1:174" ht="15.6" x14ac:dyDescent="0.3">
      <c r="A275" s="62"/>
      <c r="B275" s="223"/>
      <c r="G275" s="41"/>
      <c r="H275" s="209"/>
      <c r="I275" s="112"/>
      <c r="J275" s="229"/>
      <c r="K275" s="119"/>
      <c r="L275" s="119"/>
      <c r="M275" s="95"/>
      <c r="N275" s="265"/>
      <c r="O275" s="113"/>
      <c r="P275" s="113"/>
      <c r="Q275" s="113"/>
      <c r="R275" s="113"/>
      <c r="S275" s="113"/>
      <c r="T275" s="315"/>
      <c r="U275" s="113"/>
      <c r="V275" s="113"/>
      <c r="W275" s="113"/>
      <c r="X275" s="113"/>
      <c r="Y275" s="113"/>
      <c r="Z275" s="113"/>
      <c r="AA275" s="113"/>
      <c r="AB275" s="315"/>
      <c r="AC275" s="113"/>
      <c r="AD275" s="113"/>
      <c r="AE275" s="10"/>
      <c r="AF275" s="293"/>
      <c r="AG275" s="10"/>
      <c r="AH275" s="293"/>
      <c r="AI275" s="10"/>
      <c r="AJ275" s="293"/>
      <c r="AK275" s="10"/>
      <c r="AL275" s="52"/>
      <c r="AM275" s="52"/>
      <c r="AN275" s="52"/>
      <c r="AO275" s="52"/>
      <c r="AP275" s="52"/>
      <c r="AQ275" s="52"/>
      <c r="AR275" s="52"/>
      <c r="AS275" s="316"/>
      <c r="AT275" s="316"/>
      <c r="AU275" s="316"/>
      <c r="AV275" s="316"/>
      <c r="AW275" s="316"/>
      <c r="AX275" s="316"/>
      <c r="AY275" s="68"/>
      <c r="AZ275" s="68"/>
      <c r="BA275" s="317"/>
      <c r="BB275" s="68"/>
      <c r="BC275" s="68"/>
      <c r="BD275" s="68"/>
      <c r="BE275" s="68"/>
      <c r="BF275" s="44"/>
      <c r="BG275" s="293"/>
      <c r="BH275" s="293"/>
      <c r="BI275" s="10"/>
      <c r="BJ275" s="10"/>
      <c r="BK275" s="10"/>
      <c r="BM275" s="114"/>
      <c r="BN275" s="114"/>
      <c r="BO275" s="114"/>
      <c r="BP275" s="114"/>
      <c r="BQ275" s="114"/>
      <c r="BR275" s="114"/>
      <c r="BS275" s="52"/>
      <c r="BT275" s="113"/>
      <c r="BU275" s="113"/>
      <c r="BV275" s="113"/>
      <c r="BW275" s="113"/>
      <c r="BX275" s="113"/>
      <c r="BY275" s="113"/>
      <c r="BZ275" s="113"/>
      <c r="CA275" s="113"/>
      <c r="CB275" s="113"/>
      <c r="CC275" s="113"/>
      <c r="CD275" s="103"/>
      <c r="CE275" s="52"/>
      <c r="CF275" s="115"/>
      <c r="CG275" s="116"/>
      <c r="CH275" s="117"/>
      <c r="CI275" s="119"/>
      <c r="CJ275" s="117"/>
      <c r="CK275" s="209"/>
      <c r="CL275" s="209"/>
      <c r="CM275" s="110"/>
      <c r="CN275" s="64"/>
      <c r="CO275" s="64"/>
      <c r="CP275" s="64"/>
      <c r="CQ275" s="110"/>
      <c r="CR275" s="172"/>
      <c r="CS275" s="163"/>
      <c r="CT275" s="172"/>
      <c r="CU275" s="318"/>
      <c r="CV275" s="319"/>
      <c r="CW275" s="64"/>
      <c r="CX275" s="64"/>
      <c r="CY275" s="64"/>
      <c r="CZ275" s="154"/>
      <c r="DA275" s="64"/>
      <c r="DB275" s="49"/>
      <c r="DC275" s="50"/>
      <c r="DE275" s="110"/>
      <c r="DF275" s="144"/>
      <c r="DG275" s="110"/>
      <c r="DH275" s="136"/>
      <c r="DI275" s="136"/>
      <c r="DJ275" s="136"/>
      <c r="DK275" s="136"/>
      <c r="DL275" s="110"/>
      <c r="DM275" s="136"/>
      <c r="DO275" s="110"/>
      <c r="DP275" s="110"/>
      <c r="DR275" s="110"/>
      <c r="DS275" s="125"/>
      <c r="DT275" s="110"/>
      <c r="DU275" s="125"/>
      <c r="DV275" s="110"/>
      <c r="DW275" s="110"/>
      <c r="DX275" s="110"/>
      <c r="DZ275" s="110"/>
      <c r="EB275" s="110"/>
      <c r="EC275" s="110"/>
      <c r="ED275" s="110"/>
      <c r="EE275" s="110"/>
      <c r="EG275" s="110"/>
      <c r="EH275" s="110"/>
      <c r="EI275" s="110"/>
      <c r="EJ275" s="110"/>
      <c r="EK275" s="110"/>
      <c r="EM275" s="110"/>
      <c r="EN275" s="110"/>
      <c r="EO275" s="110"/>
      <c r="EP275" s="110"/>
      <c r="EQ275" s="110"/>
      <c r="ES275" s="110"/>
      <c r="ET275" s="110"/>
      <c r="EU275" s="110"/>
      <c r="EV275" s="110"/>
      <c r="EW275" s="110"/>
      <c r="EX275" s="144"/>
      <c r="EY275" s="110"/>
      <c r="EZ275" s="136"/>
      <c r="FA275" s="136"/>
      <c r="FB275" s="110"/>
      <c r="FC275" s="110"/>
      <c r="FD275" s="144"/>
      <c r="FE275" s="110"/>
      <c r="FF275" s="136"/>
      <c r="FG275" s="136"/>
      <c r="FH275" s="136"/>
      <c r="FI275" s="110"/>
      <c r="FJ275" s="110"/>
      <c r="FK275" s="144"/>
      <c r="FL275" s="110"/>
      <c r="FM275" s="136"/>
      <c r="FN275" s="136"/>
      <c r="FO275" s="110"/>
      <c r="FR275" s="110"/>
    </row>
    <row r="276" spans="1:174" ht="15.6" x14ac:dyDescent="0.3">
      <c r="A276" s="62"/>
      <c r="B276" s="223"/>
      <c r="G276" s="41"/>
      <c r="H276" s="209"/>
      <c r="I276" s="112"/>
      <c r="J276" s="229"/>
      <c r="K276" s="119"/>
      <c r="L276" s="119"/>
      <c r="M276" s="95"/>
      <c r="N276" s="265"/>
      <c r="O276" s="113"/>
      <c r="P276" s="113"/>
      <c r="Q276" s="113"/>
      <c r="R276" s="113"/>
      <c r="S276" s="113"/>
      <c r="T276" s="315"/>
      <c r="U276" s="113"/>
      <c r="V276" s="113"/>
      <c r="W276" s="113"/>
      <c r="X276" s="113"/>
      <c r="Y276" s="113"/>
      <c r="Z276" s="113"/>
      <c r="AA276" s="113"/>
      <c r="AB276" s="315"/>
      <c r="AC276" s="113"/>
      <c r="AD276" s="113"/>
      <c r="AE276" s="10"/>
      <c r="AF276" s="293"/>
      <c r="AG276" s="10"/>
      <c r="AH276" s="293"/>
      <c r="AI276" s="10"/>
      <c r="AJ276" s="293"/>
      <c r="AK276" s="10"/>
      <c r="AL276" s="52"/>
      <c r="AM276" s="52"/>
      <c r="AN276" s="52"/>
      <c r="AO276" s="52"/>
      <c r="AP276" s="52"/>
      <c r="AQ276" s="52"/>
      <c r="AR276" s="52"/>
      <c r="AS276" s="316"/>
      <c r="AT276" s="316"/>
      <c r="AU276" s="316"/>
      <c r="AV276" s="316"/>
      <c r="AW276" s="316"/>
      <c r="AX276" s="316"/>
      <c r="AY276" s="68"/>
      <c r="AZ276" s="68"/>
      <c r="BA276" s="317"/>
      <c r="BB276" s="68"/>
      <c r="BC276" s="68"/>
      <c r="BD276" s="68"/>
      <c r="BE276" s="68"/>
      <c r="BF276" s="44"/>
      <c r="BG276" s="293"/>
      <c r="BH276" s="293"/>
      <c r="BI276" s="10"/>
      <c r="BJ276" s="10"/>
      <c r="BK276" s="10"/>
      <c r="BM276" s="114"/>
      <c r="BN276" s="114"/>
      <c r="BO276" s="114"/>
      <c r="BP276" s="114"/>
      <c r="BQ276" s="114"/>
      <c r="BR276" s="114"/>
      <c r="BS276" s="52"/>
      <c r="BT276" s="113"/>
      <c r="BU276" s="113"/>
      <c r="BV276" s="113"/>
      <c r="BW276" s="113"/>
      <c r="BX276" s="113"/>
      <c r="BY276" s="113"/>
      <c r="BZ276" s="113"/>
      <c r="CA276" s="113"/>
      <c r="CB276" s="113"/>
      <c r="CC276" s="113"/>
      <c r="CD276" s="103"/>
      <c r="CE276" s="52"/>
      <c r="CF276" s="115"/>
      <c r="CG276" s="116"/>
      <c r="CH276" s="117"/>
      <c r="CI276" s="119"/>
      <c r="CJ276" s="117"/>
      <c r="CK276" s="209"/>
      <c r="CL276" s="209"/>
      <c r="CM276" s="110"/>
      <c r="CN276" s="64"/>
      <c r="CO276" s="64"/>
      <c r="CP276" s="64"/>
      <c r="CQ276" s="110"/>
      <c r="CR276" s="172"/>
      <c r="CS276" s="163"/>
      <c r="CT276" s="172"/>
      <c r="CU276" s="318"/>
      <c r="CV276" s="319"/>
      <c r="CW276" s="64"/>
      <c r="CX276" s="64"/>
      <c r="CY276" s="64"/>
      <c r="CZ276" s="154"/>
      <c r="DA276" s="64"/>
      <c r="DB276" s="49"/>
      <c r="DC276" s="50"/>
      <c r="DE276" s="110"/>
      <c r="DF276" s="144"/>
      <c r="DG276" s="110"/>
      <c r="DH276" s="136"/>
      <c r="DI276" s="136"/>
      <c r="DJ276" s="136"/>
      <c r="DK276" s="136"/>
      <c r="DL276" s="110"/>
      <c r="DM276" s="136"/>
      <c r="DO276" s="110"/>
      <c r="DP276" s="110"/>
      <c r="DR276" s="110"/>
      <c r="DS276" s="125"/>
      <c r="DT276" s="110"/>
      <c r="DU276" s="125"/>
      <c r="DV276" s="110"/>
      <c r="DW276" s="110"/>
      <c r="DX276" s="110"/>
      <c r="DZ276" s="110"/>
      <c r="EB276" s="110"/>
      <c r="EC276" s="110"/>
      <c r="ED276" s="110"/>
      <c r="EE276" s="110"/>
      <c r="EG276" s="110"/>
      <c r="EH276" s="110"/>
      <c r="EI276" s="110"/>
      <c r="EJ276" s="110"/>
      <c r="EK276" s="110"/>
      <c r="EM276" s="110"/>
      <c r="EN276" s="110"/>
      <c r="EO276" s="110"/>
      <c r="EP276" s="110"/>
      <c r="EQ276" s="110"/>
      <c r="ES276" s="110"/>
      <c r="ET276" s="110"/>
      <c r="EU276" s="110"/>
      <c r="EV276" s="110"/>
      <c r="EW276" s="110"/>
      <c r="EX276" s="144"/>
      <c r="EY276" s="110"/>
      <c r="EZ276" s="136"/>
      <c r="FA276" s="136"/>
      <c r="FB276" s="110"/>
      <c r="FC276" s="110"/>
      <c r="FD276" s="144"/>
      <c r="FE276" s="110"/>
      <c r="FF276" s="136"/>
      <c r="FG276" s="136"/>
      <c r="FH276" s="136"/>
      <c r="FI276" s="110"/>
      <c r="FJ276" s="110"/>
      <c r="FK276" s="144"/>
      <c r="FL276" s="110"/>
      <c r="FM276" s="136"/>
      <c r="FN276" s="136"/>
      <c r="FO276" s="110"/>
      <c r="FR276" s="110"/>
    </row>
  </sheetData>
  <hyperlinks>
    <hyperlink ref="FV27" r:id="rId1" xr:uid="{7905DCC7-91BA-4B9C-86B2-ED031C381BD9}"/>
    <hyperlink ref="FV135" r:id="rId2" xr:uid="{456A6CE9-F060-455E-9A4D-AED7698DFD7B}"/>
    <hyperlink ref="FV23" r:id="rId3" xr:uid="{5B6A5A35-ACB5-4763-A5AD-19009F008C77}"/>
    <hyperlink ref="FV93" r:id="rId4" xr:uid="{BBF5EB10-6F3A-4800-90E8-2CD748631920}"/>
    <hyperlink ref="FV69" r:id="rId5" xr:uid="{745581A5-5BCA-41BF-BA71-DC5D26EFF602}"/>
    <hyperlink ref="FV19" r:id="rId6" xr:uid="{39A31EA7-AEE2-4289-A7C6-DBC37AB331DD}"/>
    <hyperlink ref="FV77" r:id="rId7" xr:uid="{4DE9B92D-64EF-427E-8A04-BFEDAA2F2210}"/>
    <hyperlink ref="FV11" r:id="rId8" xr:uid="{93F065B8-CBB1-4F05-9833-CE107BE88F6D}"/>
    <hyperlink ref="FV41" r:id="rId9" xr:uid="{3F2789F8-5F83-49E4-BFFD-99D8718DE154}"/>
    <hyperlink ref="FV37" r:id="rId10" xr:uid="{060EA707-17DE-41DB-8477-56CF21497FD7}"/>
    <hyperlink ref="FV31" r:id="rId11" xr:uid="{27CD5E89-28AD-4E8A-A13E-4F259435BEEC}"/>
    <hyperlink ref="FV87" r:id="rId12" xr:uid="{6B351CCB-3717-4651-8F74-200E07CFC734}"/>
    <hyperlink ref="FV90" r:id="rId13" xr:uid="{27C9B6F0-0923-4F3B-83E1-EBBED83DD192}"/>
    <hyperlink ref="FV61" r:id="rId14" xr:uid="{01EF08BD-39A2-4235-A654-3FB8FD683567}"/>
    <hyperlink ref="FV15" r:id="rId15" xr:uid="{5287439F-2FAD-4997-AC91-F91B6CB8CDCF}"/>
    <hyperlink ref="FV47" r:id="rId16" xr:uid="{08C56214-3319-471B-91E5-8D181869E9EB}"/>
    <hyperlink ref="FV115" r:id="rId17" xr:uid="{2966FDFC-2BB8-42F7-A52B-549DE8CDA692}"/>
    <hyperlink ref="FV66" r:id="rId18" xr:uid="{FBA3F387-B18D-422D-A828-5EF7138E98C5}"/>
    <hyperlink ref="FV56" r:id="rId19" xr:uid="{FBFAA975-19F4-4615-AC53-3690918B497B}"/>
    <hyperlink ref="FV72" r:id="rId20" xr:uid="{8FD52047-A69E-4A75-B4BF-7B44553B3032}"/>
    <hyperlink ref="FV84" r:id="rId21" xr:uid="{73DDCB3F-FD1A-46EB-A09E-73820B16A867}"/>
  </hyperlinks>
  <printOptions horizontalCentered="1"/>
  <pageMargins left="0.19685039370078741" right="0.19685039370078741" top="0.31496062992125984" bottom="0.19685039370078741" header="0.15748031496062992" footer="0.15748031496062992"/>
  <pageSetup paperSize="9" scale="46" orientation="landscape" r:id="rId22"/>
  <headerFooter>
    <oddHeader>&amp;C&amp;14&amp;F - &amp;D - &amp;T  -  Side &amp;P av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B657A-E23F-40C9-9CAA-236AE0F3946F}">
  <dimension ref="A1:AB539"/>
  <sheetViews>
    <sheetView workbookViewId="0">
      <selection activeCell="G44" sqref="G44"/>
    </sheetView>
  </sheetViews>
  <sheetFormatPr baseColWidth="10" defaultColWidth="11.44140625" defaultRowHeight="13.2" x14ac:dyDescent="0.25"/>
  <cols>
    <col min="1" max="1" width="4.6640625" style="390" customWidth="1"/>
    <col min="2" max="3" width="4.6640625" style="391" customWidth="1"/>
    <col min="4" max="4" width="3" style="391" customWidth="1"/>
    <col min="5" max="5" width="8.6640625" style="391" customWidth="1"/>
    <col min="6" max="6" width="3.6640625" style="391" customWidth="1"/>
    <col min="7" max="7" width="6.6640625" style="418" customWidth="1"/>
    <col min="8" max="8" width="5.33203125" style="391" customWidth="1"/>
    <col min="9" max="9" width="6.44140625" style="391" customWidth="1"/>
    <col min="10" max="10" width="4.6640625" style="391" customWidth="1"/>
    <col min="11" max="11" width="5.6640625" style="391" customWidth="1"/>
    <col min="12" max="12" width="6.44140625" style="391" customWidth="1"/>
    <col min="13" max="13" width="4.44140625" style="391" customWidth="1"/>
    <col min="14" max="14" width="4.6640625" style="391" customWidth="1"/>
    <col min="15" max="15" width="2.6640625" style="391" customWidth="1"/>
    <col min="16" max="16" width="6.6640625" style="391" customWidth="1"/>
    <col min="17" max="17" width="7.6640625" style="391" customWidth="1"/>
    <col min="18" max="18" width="5.109375" style="391" customWidth="1"/>
    <col min="19" max="19" width="4.6640625" style="391" customWidth="1"/>
    <col min="20" max="16384" width="11.44140625" style="391"/>
  </cols>
  <sheetData>
    <row r="1" spans="1:19" x14ac:dyDescent="0.25">
      <c r="B1" s="390"/>
      <c r="C1" s="390"/>
      <c r="D1" s="390"/>
      <c r="E1" s="390" t="s">
        <v>653</v>
      </c>
      <c r="F1" s="390"/>
      <c r="G1" s="390" t="s">
        <v>654</v>
      </c>
      <c r="H1" s="390"/>
      <c r="I1" s="390"/>
      <c r="J1" s="390" t="s">
        <v>655</v>
      </c>
      <c r="K1" s="390"/>
      <c r="L1" s="393"/>
      <c r="N1" s="391" t="s">
        <v>656</v>
      </c>
    </row>
    <row r="2" spans="1:19" s="529" customFormat="1" ht="25.2" x14ac:dyDescent="0.45">
      <c r="A2" s="528"/>
      <c r="B2" s="528"/>
      <c r="C2" s="530"/>
      <c r="D2" s="531"/>
      <c r="E2" s="531"/>
      <c r="F2" s="530"/>
      <c r="G2" s="531"/>
      <c r="H2" s="532"/>
      <c r="I2" s="531"/>
      <c r="J2" s="531"/>
      <c r="K2" s="531"/>
      <c r="L2" s="532"/>
      <c r="M2" s="533"/>
      <c r="N2" s="534"/>
      <c r="O2" s="534"/>
      <c r="P2" s="534"/>
      <c r="Q2" s="535"/>
    </row>
    <row r="3" spans="1:19" s="395" customFormat="1" ht="30.75" customHeight="1" x14ac:dyDescent="0.6">
      <c r="A3" s="394"/>
      <c r="G3" s="396"/>
      <c r="I3" s="397" t="s">
        <v>444</v>
      </c>
      <c r="S3" s="398"/>
    </row>
    <row r="4" spans="1:19" s="529" customFormat="1" ht="25.2" x14ac:dyDescent="0.45">
      <c r="A4" s="528"/>
      <c r="G4" s="561"/>
      <c r="I4" s="562" t="s">
        <v>305</v>
      </c>
      <c r="S4" s="563"/>
    </row>
    <row r="5" spans="1:19" s="399" customFormat="1" ht="18.600000000000001" thickBot="1" x14ac:dyDescent="0.4">
      <c r="A5" s="571" t="str">
        <f>IF(VLOOKUP($A$11,Database!$1:$1048576,172,FALSE)=0,"",VLOOKUP($A$11,Database!$1:$1048576,172,FALSE))</f>
        <v/>
      </c>
      <c r="C5" s="399" t="s">
        <v>649</v>
      </c>
      <c r="G5" s="522"/>
      <c r="I5" s="523"/>
      <c r="S5" s="524"/>
    </row>
    <row r="6" spans="1:19" s="399" customFormat="1" ht="18.600000000000001" thickBot="1" x14ac:dyDescent="0.4">
      <c r="C6" s="516" t="s">
        <v>651</v>
      </c>
      <c r="G6" s="570" t="str">
        <f>IF(VLOOKUP($A$11,Database!$1:$1048576,172,FALSE)=0,"",VLOOKUP($A$11,Database!$1:$1048576,172,FALSE))</f>
        <v/>
      </c>
      <c r="H6" s="527"/>
      <c r="I6" s="523"/>
      <c r="S6" s="524"/>
    </row>
    <row r="7" spans="1:19" s="399" customFormat="1" ht="18.600000000000001" thickBot="1" x14ac:dyDescent="0.4">
      <c r="A7" s="526"/>
      <c r="C7" s="399" t="s">
        <v>652</v>
      </c>
      <c r="G7" s="522"/>
      <c r="I7" s="523"/>
      <c r="S7" s="524"/>
    </row>
    <row r="8" spans="1:19" s="403" customFormat="1" ht="10.199999999999999" x14ac:dyDescent="0.2">
      <c r="G8" s="392"/>
      <c r="I8" s="449"/>
      <c r="S8" s="398"/>
    </row>
    <row r="9" spans="1:19" s="399" customFormat="1" ht="18" x14ac:dyDescent="0.35">
      <c r="A9" s="383" t="s">
        <v>650</v>
      </c>
      <c r="B9" s="525"/>
      <c r="C9" s="525"/>
      <c r="D9" s="525"/>
      <c r="E9" s="525"/>
      <c r="G9" s="522"/>
      <c r="I9" s="523"/>
      <c r="S9" s="524"/>
    </row>
    <row r="10" spans="1:19" s="403" customFormat="1" ht="10.199999999999999" x14ac:dyDescent="0.2">
      <c r="A10" s="564"/>
      <c r="B10" s="564"/>
      <c r="C10" s="564"/>
      <c r="D10" s="564"/>
      <c r="E10" s="564"/>
      <c r="G10" s="392"/>
      <c r="I10" s="449"/>
      <c r="S10" s="398"/>
    </row>
    <row r="11" spans="1:19" s="486" customFormat="1" ht="32.25" customHeight="1" x14ac:dyDescent="0.55000000000000004">
      <c r="A11" s="485" t="s">
        <v>25</v>
      </c>
      <c r="F11" s="487"/>
      <c r="J11" s="543"/>
      <c r="K11" s="544" t="s">
        <v>671</v>
      </c>
      <c r="L11" s="511" t="str">
        <f>VLOOKUP($A$11,Database!$1:$1048576,198,FALSE)</f>
        <v>ex n</v>
      </c>
    </row>
    <row r="12" spans="1:19" s="395" customFormat="1" ht="25.5" customHeight="1" x14ac:dyDescent="0.6">
      <c r="B12" s="400" t="s">
        <v>384</v>
      </c>
      <c r="C12" s="496" t="str">
        <f>VLOOKUP($A$11,Database!$1:$1048576,175,FALSE)</f>
        <v>RS 30</v>
      </c>
      <c r="F12" s="399"/>
    </row>
    <row r="13" spans="1:19" s="401" customFormat="1" ht="15.6" x14ac:dyDescent="0.3">
      <c r="A13" s="408" t="s">
        <v>388</v>
      </c>
      <c r="E13" s="511" t="str">
        <f>VLOOKUP($A$11,Database!$1:$1048576,3,FALSE)</f>
        <v>Gaffel</v>
      </c>
      <c r="F13" s="497"/>
    </row>
    <row r="14" spans="1:19" s="401" customFormat="1" ht="15.6" x14ac:dyDescent="0.3">
      <c r="A14" s="408" t="s">
        <v>605</v>
      </c>
      <c r="E14" s="511" t="str">
        <f>VLOOKUP($A$11,Database!$1:$1048576,191,FALSE)</f>
        <v>Skøyte</v>
      </c>
      <c r="F14" s="497"/>
    </row>
    <row r="15" spans="1:19" s="401" customFormat="1" ht="15.6" x14ac:dyDescent="0.3">
      <c r="A15" s="408" t="s">
        <v>644</v>
      </c>
      <c r="E15" s="512">
        <f>G31/0.3048</f>
        <v>46.587926509186346</v>
      </c>
      <c r="F15" s="496" t="s">
        <v>7</v>
      </c>
    </row>
    <row r="16" spans="1:19" s="401" customFormat="1" ht="15.6" x14ac:dyDescent="0.3">
      <c r="A16" s="408" t="s">
        <v>396</v>
      </c>
      <c r="E16" s="511" t="str">
        <f>VLOOKUP($A$11,Database!$1:$1048576,192,FALSE)</f>
        <v>Redningsskøyte</v>
      </c>
      <c r="F16" s="497"/>
    </row>
    <row r="17" spans="1:28" s="401" customFormat="1" ht="15.6" x14ac:dyDescent="0.3">
      <c r="A17" s="408" t="s">
        <v>395</v>
      </c>
      <c r="E17" s="511" t="str">
        <f>VLOOKUP($A$11,Database!$1:$1048576,193,FALSE)</f>
        <v>Colin Archer</v>
      </c>
      <c r="F17" s="497"/>
    </row>
    <row r="18" spans="1:28" s="401" customFormat="1" ht="15.6" x14ac:dyDescent="0.3">
      <c r="A18" s="408" t="s">
        <v>393</v>
      </c>
      <c r="E18" s="511" t="str">
        <f>VLOOKUP($A$11,Database!$1:$1048576,194,FALSE)</f>
        <v>Jepsen &amp; Olsen, Holmen, Risør</v>
      </c>
      <c r="F18" s="497"/>
    </row>
    <row r="19" spans="1:28" s="401" customFormat="1" ht="15.6" x14ac:dyDescent="0.3">
      <c r="A19" s="408" t="s">
        <v>401</v>
      </c>
      <c r="E19" s="496">
        <f>VLOOKUP($A$11,Database!$1:$1048576,195,FALSE)</f>
        <v>1914</v>
      </c>
      <c r="F19" s="497"/>
    </row>
    <row r="20" spans="1:28" s="401" customFormat="1" ht="15.6" x14ac:dyDescent="0.3">
      <c r="A20" s="408" t="s">
        <v>461</v>
      </c>
      <c r="E20" s="511" t="str">
        <f>VLOOKUP($A$11,Database!$1:$1048576,197,FALSE)</f>
        <v>Hvitmalt</v>
      </c>
      <c r="F20" s="497"/>
    </row>
    <row r="21" spans="1:28" s="401" customFormat="1" ht="15.6" x14ac:dyDescent="0.3">
      <c r="A21" s="408" t="s">
        <v>460</v>
      </c>
      <c r="E21" s="511" t="str">
        <f>VLOOKUP($A$11,Database!$1:$1048576,196,FALSE)</f>
        <v>Kremhvite</v>
      </c>
      <c r="F21" s="497"/>
    </row>
    <row r="22" spans="1:28" s="401" customFormat="1" ht="15.6" x14ac:dyDescent="0.3">
      <c r="A22" s="497" t="s">
        <v>2</v>
      </c>
      <c r="E22" s="499"/>
      <c r="F22" s="484"/>
      <c r="K22" s="498" t="s">
        <v>457</v>
      </c>
    </row>
    <row r="23" spans="1:28" s="401" customFormat="1" ht="15.6" x14ac:dyDescent="0.3">
      <c r="A23" s="496" t="str">
        <f>VLOOKUP($A$11,Database!$1:$1048576,Database!FT$1,FALSE)</f>
        <v>Jørn Torfinn Rød</v>
      </c>
      <c r="K23" s="496" t="str">
        <f>VLOOKUP($A$11,Database!$1:$1048576,Database!GB$1,FALSE)</f>
        <v>Risør II Venner</v>
      </c>
      <c r="P23" s="400"/>
      <c r="Q23" s="408"/>
    </row>
    <row r="24" spans="1:28" s="401" customFormat="1" ht="15.6" x14ac:dyDescent="0.3">
      <c r="A24" s="408" t="str">
        <f>VLOOKUP($A$11,Database!$1:$1048576,179,FALSE)</f>
        <v>Kranveien 66</v>
      </c>
      <c r="K24" s="496" t="str">
        <f>VLOOKUP($A$11,Database!$1:$1048576,Database!GE$1,FALSE)</f>
        <v>adr</v>
      </c>
      <c r="P24" s="400"/>
      <c r="Q24" s="408"/>
    </row>
    <row r="25" spans="1:28" s="401" customFormat="1" ht="15.6" x14ac:dyDescent="0.3">
      <c r="A25" s="496" t="str">
        <f>VLOOKUP($A$11,Database!$1:$1048576,Database!FX$1,FALSE)</f>
        <v>4950 Risør</v>
      </c>
      <c r="G25" s="409"/>
      <c r="I25" s="409"/>
      <c r="J25" s="553"/>
      <c r="K25" s="496" t="str">
        <f>VLOOKUP($A$11,Database!$1:$1048576,Database!GF$1,FALSE)</f>
        <v>Risør</v>
      </c>
    </row>
    <row r="26" spans="1:28" s="401" customFormat="1" ht="15.6" x14ac:dyDescent="0.3">
      <c r="A26" s="496" t="str">
        <f>VLOOKUP($A$11,Database!$1:$1048576,Database!FY$1,FALSE)</f>
        <v>Norge</v>
      </c>
      <c r="C26" s="408"/>
      <c r="D26" s="408"/>
      <c r="H26" s="554"/>
      <c r="I26" s="555"/>
      <c r="J26" s="400"/>
      <c r="K26" s="496" t="str">
        <f>VLOOKUP($A$11,Database!$1:$1048576,Database!GG$1,FALSE)</f>
        <v>Norge</v>
      </c>
      <c r="M26" s="408"/>
    </row>
    <row r="27" spans="1:28" s="401" customFormat="1" ht="15.6" x14ac:dyDescent="0.3">
      <c r="A27" s="391"/>
      <c r="B27" s="418" t="s">
        <v>385</v>
      </c>
      <c r="C27" s="408" t="str">
        <f>VLOOKUP($A$11,Database!$1:$1048576,177,FALSE)</f>
        <v>99311530</v>
      </c>
      <c r="D27" s="391"/>
      <c r="E27" s="391"/>
      <c r="K27" s="496" t="str">
        <f>VLOOKUP($A$11,Database!$1:$1048576,Database!GC$1,FALSE)</f>
        <v>mob</v>
      </c>
      <c r="L27" s="499"/>
      <c r="P27" s="499"/>
      <c r="Q27" s="484"/>
    </row>
    <row r="28" spans="1:28" s="401" customFormat="1" ht="15.6" x14ac:dyDescent="0.3">
      <c r="A28" s="391"/>
      <c r="B28" s="418" t="s">
        <v>386</v>
      </c>
      <c r="C28" s="390" t="str">
        <f>VLOOKUP($A$11,Database!$1:$1048576,Database!FV$1,FALSE)</f>
        <v>torf-ro@online.no</v>
      </c>
      <c r="D28" s="391"/>
      <c r="E28" s="391"/>
      <c r="K28" s="496" t="str">
        <f>VLOOKUP($A$11,Database!$1:$1048576,186,FALSE)</f>
        <v>epost</v>
      </c>
      <c r="L28" s="499"/>
      <c r="P28" s="499"/>
      <c r="Q28" s="484"/>
    </row>
    <row r="29" spans="1:28" s="404" customFormat="1" ht="17.399999999999999" x14ac:dyDescent="0.3">
      <c r="A29" s="510"/>
      <c r="B29" s="509"/>
      <c r="C29" s="418" t="s">
        <v>458</v>
      </c>
      <c r="D29" s="390" t="str">
        <f>VLOOKUP($A$11,Database!$1:$1048576,Database!FZ$1,FALSE)</f>
        <v>Risør SF</v>
      </c>
      <c r="E29" s="391"/>
      <c r="H29" s="500"/>
      <c r="I29" s="501"/>
      <c r="J29" s="392"/>
      <c r="K29" s="441"/>
      <c r="L29" s="499"/>
      <c r="M29" s="502"/>
      <c r="N29" s="391"/>
      <c r="O29" s="391"/>
      <c r="P29" s="391"/>
      <c r="Q29" s="391"/>
      <c r="R29" s="391"/>
    </row>
    <row r="30" spans="1:28" s="492" customFormat="1" ht="17.399999999999999" x14ac:dyDescent="0.3">
      <c r="A30" s="421" t="s">
        <v>722</v>
      </c>
      <c r="G30" s="493"/>
      <c r="H30" s="494"/>
      <c r="K30" s="490"/>
      <c r="L30" s="488"/>
      <c r="M30" s="491"/>
      <c r="N30" s="489"/>
      <c r="O30" s="489"/>
      <c r="P30" s="489"/>
      <c r="Q30" s="489"/>
      <c r="R30" s="489"/>
      <c r="T30" s="495">
        <f>I1+1</f>
        <v>1</v>
      </c>
    </row>
    <row r="31" spans="1:28" s="464" customFormat="1" ht="15.6" x14ac:dyDescent="0.3">
      <c r="A31" s="408" t="s">
        <v>409</v>
      </c>
      <c r="B31" s="391"/>
      <c r="C31" s="391"/>
      <c r="D31" s="391"/>
      <c r="E31" s="391"/>
      <c r="F31" s="441" t="s">
        <v>389</v>
      </c>
      <c r="G31" s="463">
        <f>VLOOKUP($A$11,Database!$1:$1048576,38,FALSE)</f>
        <v>14.2</v>
      </c>
      <c r="H31" s="390" t="s">
        <v>410</v>
      </c>
      <c r="I31" s="492"/>
      <c r="J31" s="492"/>
      <c r="K31" s="536" t="s">
        <v>703</v>
      </c>
      <c r="L31" s="537"/>
      <c r="M31" s="537"/>
      <c r="N31" s="537"/>
      <c r="O31" s="537"/>
      <c r="P31" s="537"/>
      <c r="Q31" s="538"/>
      <c r="T31" s="391"/>
      <c r="U31" s="418" t="s">
        <v>412</v>
      </c>
      <c r="V31" s="465">
        <f>G32/G31</f>
        <v>0.87676056338028163</v>
      </c>
      <c r="W31" s="390" t="s">
        <v>413</v>
      </c>
      <c r="X31" s="391"/>
    </row>
    <row r="32" spans="1:28" s="464" customFormat="1" ht="15.6" x14ac:dyDescent="0.3">
      <c r="A32" s="408" t="s">
        <v>411</v>
      </c>
      <c r="B32" s="391"/>
      <c r="C32" s="391"/>
      <c r="D32" s="391"/>
      <c r="E32" s="391"/>
      <c r="F32" s="441" t="s">
        <v>389</v>
      </c>
      <c r="G32" s="463">
        <f>VLOOKUP($A$11,Database!$1:$1048576,39,FALSE)</f>
        <v>12.45</v>
      </c>
      <c r="H32" s="390" t="s">
        <v>410</v>
      </c>
      <c r="I32" s="492"/>
      <c r="J32" s="492"/>
      <c r="K32" s="551" t="s">
        <v>704</v>
      </c>
      <c r="Q32" s="552"/>
      <c r="T32" s="391"/>
      <c r="U32" s="418" t="s">
        <v>415</v>
      </c>
      <c r="V32" s="465">
        <f>G33/G31</f>
        <v>0.34788732394366201</v>
      </c>
      <c r="W32" s="390" t="s">
        <v>416</v>
      </c>
      <c r="X32" s="391"/>
      <c r="Y32" s="391"/>
      <c r="Z32" s="391"/>
      <c r="AA32" s="391"/>
      <c r="AB32" s="391"/>
    </row>
    <row r="33" spans="1:28" s="464" customFormat="1" ht="15.6" x14ac:dyDescent="0.3">
      <c r="A33" s="408" t="s">
        <v>414</v>
      </c>
      <c r="B33" s="391"/>
      <c r="C33" s="391"/>
      <c r="D33" s="391"/>
      <c r="E33" s="391"/>
      <c r="F33" s="441" t="s">
        <v>389</v>
      </c>
      <c r="G33" s="463">
        <f>VLOOKUP($A$11,Database!$1:$1048576,40,FALSE)</f>
        <v>4.9400000000000004</v>
      </c>
      <c r="H33" s="390" t="s">
        <v>410</v>
      </c>
      <c r="I33" s="492"/>
      <c r="J33" s="492"/>
      <c r="K33" s="539" t="s">
        <v>705</v>
      </c>
      <c r="L33" s="540"/>
      <c r="M33" s="540"/>
      <c r="N33" s="540"/>
      <c r="O33" s="540"/>
      <c r="P33" s="540"/>
      <c r="Q33" s="541"/>
      <c r="T33" s="391"/>
      <c r="Y33" s="391"/>
      <c r="Z33" s="391"/>
      <c r="AA33" s="426"/>
      <c r="AB33" s="391"/>
    </row>
    <row r="34" spans="1:28" s="464" customFormat="1" ht="15.6" x14ac:dyDescent="0.3">
      <c r="A34" s="408" t="s">
        <v>686</v>
      </c>
      <c r="B34" s="391"/>
      <c r="C34" s="391"/>
      <c r="D34" s="391"/>
      <c r="E34" s="391"/>
      <c r="F34" s="441" t="s">
        <v>389</v>
      </c>
      <c r="G34" s="515" t="str">
        <f>IF(VLOOKUP($A$11,Database!$1:$1048576,36,FALSE)=0,"-",VLOOKUP($A$11,Database!$1:$1048576,36,FALSE))</f>
        <v>RS</v>
      </c>
      <c r="H34" s="390"/>
      <c r="I34" s="433"/>
      <c r="J34" s="418"/>
      <c r="T34" s="391"/>
      <c r="W34" s="391"/>
      <c r="X34" s="418"/>
      <c r="Y34" s="450"/>
      <c r="Z34" s="391"/>
      <c r="AA34" s="391"/>
      <c r="AB34" s="391"/>
    </row>
    <row r="35" spans="1:28" s="464" customFormat="1" ht="15.6" x14ac:dyDescent="0.3">
      <c r="A35" s="408" t="s">
        <v>663</v>
      </c>
      <c r="B35" s="391"/>
      <c r="C35" s="391"/>
      <c r="D35" s="391"/>
      <c r="E35" s="391"/>
      <c r="F35" s="441" t="s">
        <v>389</v>
      </c>
      <c r="G35" s="463">
        <f>VLOOKUP($A$11,Database!$1:$1048576,41,FALSE)</f>
        <v>2.5</v>
      </c>
      <c r="H35" s="390" t="s">
        <v>664</v>
      </c>
      <c r="T35" s="391"/>
      <c r="U35" s="418" t="s">
        <v>417</v>
      </c>
      <c r="V35" s="466">
        <f>G35/G32</f>
        <v>0.20080321285140562</v>
      </c>
      <c r="W35" s="390" t="s">
        <v>418</v>
      </c>
      <c r="Y35" s="391"/>
      <c r="AA35" s="463"/>
      <c r="AB35" s="391"/>
    </row>
    <row r="36" spans="1:28" s="464" customFormat="1" ht="15.6" x14ac:dyDescent="0.3">
      <c r="A36" s="408" t="s">
        <v>425</v>
      </c>
      <c r="B36" s="391"/>
      <c r="C36" s="391"/>
      <c r="D36" s="391"/>
      <c r="E36" s="391"/>
      <c r="F36" s="441" t="s">
        <v>389</v>
      </c>
      <c r="G36" s="467">
        <f>VLOOKUP($A$11,Database!$1:$1048576,42,FALSE)</f>
        <v>34.5</v>
      </c>
      <c r="H36" s="390" t="s">
        <v>419</v>
      </c>
      <c r="I36" s="390"/>
      <c r="J36" s="391"/>
      <c r="K36" s="390" t="s">
        <v>716</v>
      </c>
      <c r="L36" s="391"/>
      <c r="M36" s="391"/>
      <c r="N36" s="391"/>
      <c r="O36" s="391"/>
      <c r="P36" s="391"/>
      <c r="Q36" s="390"/>
      <c r="R36" s="391"/>
      <c r="S36" s="391"/>
      <c r="T36" s="391"/>
    </row>
    <row r="37" spans="1:28" s="464" customFormat="1" ht="15.6" x14ac:dyDescent="0.3">
      <c r="A37" s="408" t="s">
        <v>657</v>
      </c>
      <c r="B37" s="391"/>
      <c r="C37" s="391"/>
      <c r="D37" s="391"/>
      <c r="E37" s="391"/>
      <c r="F37" s="441" t="s">
        <v>389</v>
      </c>
      <c r="G37" s="467">
        <f>IF(VLOOKUP($A$11,Database!$1:$1048576,43,FALSE)=0,"-",VLOOKUP($A$11,Database!$1:$1048576,43,FALSE))</f>
        <v>5</v>
      </c>
      <c r="H37" s="390" t="s">
        <v>667</v>
      </c>
      <c r="I37" s="433"/>
      <c r="J37" s="391"/>
      <c r="T37" s="391"/>
      <c r="U37" s="418" t="s">
        <v>420</v>
      </c>
      <c r="V37" s="465">
        <f>(G38+G37)/G36</f>
        <v>0.34782608695652173</v>
      </c>
      <c r="W37" s="391" t="s">
        <v>421</v>
      </c>
      <c r="X37" s="391"/>
      <c r="Y37" s="391"/>
      <c r="Z37" s="391"/>
      <c r="AA37" s="468">
        <f>G36*0.36</f>
        <v>12.42</v>
      </c>
      <c r="AB37" s="391" t="s">
        <v>422</v>
      </c>
    </row>
    <row r="38" spans="1:28" s="464" customFormat="1" ht="15.6" x14ac:dyDescent="0.3">
      <c r="A38" s="408" t="s">
        <v>658</v>
      </c>
      <c r="B38" s="391"/>
      <c r="C38" s="391"/>
      <c r="D38" s="391"/>
      <c r="E38" s="391"/>
      <c r="F38" s="441" t="s">
        <v>389</v>
      </c>
      <c r="G38" s="467">
        <f>IF(VLOOKUP($A$11,Database!$1:$1048576,44,FALSE)=0,"-",VLOOKUP($A$11,Database!$1:$1048576,44,FALSE))</f>
        <v>7</v>
      </c>
      <c r="H38" s="390" t="s">
        <v>667</v>
      </c>
      <c r="I38" s="433"/>
      <c r="J38" s="418"/>
      <c r="T38" s="391"/>
      <c r="W38" s="391"/>
      <c r="X38" s="418" t="s">
        <v>423</v>
      </c>
      <c r="Y38" s="450"/>
      <c r="Z38" s="391" t="s">
        <v>424</v>
      </c>
      <c r="AA38" s="391"/>
      <c r="AB38" s="391"/>
    </row>
    <row r="39" spans="1:28" ht="15.6" x14ac:dyDescent="0.3">
      <c r="A39" s="408" t="s">
        <v>709</v>
      </c>
      <c r="B39" s="401"/>
      <c r="C39" s="401"/>
      <c r="D39" s="401"/>
      <c r="E39" s="403"/>
      <c r="F39" s="409"/>
      <c r="G39" s="514">
        <f>IF(VLOOKUP($A$11,Database!$1:$1048576,Database!AU$1,FALSE)=0,"-",VLOOKUP($A$11,Database!$1:$1048576,Database!AV$1,FALSE))</f>
        <v>300</v>
      </c>
      <c r="H39" s="393" t="s">
        <v>711</v>
      </c>
      <c r="I39" s="560"/>
      <c r="J39" s="393"/>
      <c r="K39" s="408" t="s">
        <v>714</v>
      </c>
      <c r="L39" s="401"/>
      <c r="M39" s="401"/>
      <c r="N39" s="401"/>
      <c r="O39" s="409"/>
      <c r="P39" s="423"/>
      <c r="Q39" s="390"/>
      <c r="R39" s="392"/>
      <c r="S39" s="545"/>
      <c r="T39" s="426"/>
    </row>
    <row r="40" spans="1:28" ht="15.6" x14ac:dyDescent="0.3">
      <c r="A40" s="408" t="s">
        <v>710</v>
      </c>
      <c r="B40" s="401"/>
      <c r="C40" s="401"/>
      <c r="D40" s="401"/>
      <c r="E40" s="403"/>
      <c r="F40" s="409"/>
      <c r="G40" s="514">
        <f>IF(VLOOKUP($A$11,Database!$1:$1048576,Database!AU$1,FALSE)=0,"-",VLOOKUP($A$11,Database!$1:$1048576,Database!AU$1,FALSE))</f>
        <v>300</v>
      </c>
      <c r="H40" s="393" t="s">
        <v>711</v>
      </c>
      <c r="I40" s="560"/>
      <c r="J40" s="393"/>
      <c r="K40" s="408" t="s">
        <v>715</v>
      </c>
      <c r="L40" s="401"/>
      <c r="M40" s="401"/>
      <c r="N40" s="401"/>
      <c r="O40" s="409"/>
      <c r="P40" s="423"/>
      <c r="Q40" s="390"/>
      <c r="R40" s="392"/>
      <c r="S40" s="545"/>
      <c r="T40" s="426"/>
    </row>
    <row r="41" spans="1:28" ht="15.6" x14ac:dyDescent="0.3">
      <c r="A41" s="408" t="s">
        <v>732</v>
      </c>
      <c r="B41" s="401"/>
      <c r="C41" s="401"/>
      <c r="D41" s="401"/>
      <c r="E41" s="403"/>
      <c r="F41" s="409"/>
      <c r="G41" s="467">
        <f>VLOOKUP($A$11,Database!$1:$1048576,49,FALSE)</f>
        <v>35.099999999999994</v>
      </c>
      <c r="H41" s="393" t="s">
        <v>419</v>
      </c>
      <c r="I41" s="425"/>
      <c r="J41" s="393"/>
      <c r="K41" s="408"/>
      <c r="L41" s="401"/>
      <c r="M41" s="401"/>
      <c r="N41" s="401"/>
      <c r="O41" s="409"/>
      <c r="P41" s="423"/>
      <c r="Q41" s="390"/>
      <c r="R41" s="392"/>
      <c r="S41" s="545"/>
      <c r="T41" s="426"/>
    </row>
    <row r="42" spans="1:28" ht="17.399999999999999" x14ac:dyDescent="0.3">
      <c r="A42" s="421" t="s">
        <v>606</v>
      </c>
      <c r="B42" s="401"/>
      <c r="C42" s="401"/>
      <c r="D42" s="401"/>
      <c r="E42" s="401"/>
      <c r="F42" s="441" t="s">
        <v>389</v>
      </c>
      <c r="G42" s="400"/>
      <c r="H42" s="408"/>
      <c r="I42" s="390"/>
      <c r="J42" s="401"/>
      <c r="K42" s="401"/>
      <c r="L42" s="401"/>
      <c r="M42" s="401"/>
      <c r="N42" s="401"/>
      <c r="O42" s="401"/>
      <c r="P42" s="401"/>
      <c r="Q42" s="408"/>
    </row>
    <row r="43" spans="1:28" ht="3.75" customHeight="1" x14ac:dyDescent="0.3">
      <c r="A43" s="401"/>
      <c r="B43" s="401"/>
      <c r="C43" s="401"/>
      <c r="D43" s="401"/>
      <c r="E43" s="401"/>
      <c r="F43" s="441" t="s">
        <v>389</v>
      </c>
      <c r="G43" s="400"/>
      <c r="H43" s="408"/>
      <c r="I43" s="401"/>
      <c r="J43" s="401"/>
      <c r="K43" s="401"/>
      <c r="L43" s="401"/>
      <c r="M43" s="401"/>
      <c r="N43" s="401"/>
      <c r="O43" s="401"/>
      <c r="P43" s="401"/>
      <c r="Q43" s="408"/>
    </row>
    <row r="44" spans="1:28" ht="15.6" x14ac:dyDescent="0.3">
      <c r="A44" s="408" t="s">
        <v>610</v>
      </c>
      <c r="B44" s="401"/>
      <c r="C44" s="401"/>
      <c r="D44" s="401"/>
      <c r="E44" s="401"/>
      <c r="F44" s="441" t="s">
        <v>389</v>
      </c>
      <c r="G44" s="513">
        <f>IF(VLOOKUP($A$11,Database!$1:$1048576,21,FALSE)=0,"-",VLOOKUP($A$11,Database!$1:$1048576,21,FALSE))</f>
        <v>48.9</v>
      </c>
      <c r="H44" s="393" t="s">
        <v>607</v>
      </c>
      <c r="I44" s="401"/>
      <c r="J44" s="401"/>
      <c r="K44" s="408" t="s">
        <v>615</v>
      </c>
      <c r="L44" s="401"/>
      <c r="M44" s="401"/>
      <c r="N44" s="401"/>
      <c r="O44" s="409" t="s">
        <v>389</v>
      </c>
      <c r="P44" s="513">
        <f>IF(VLOOKUP($A$11,Database!$1:$1048576,24,FALSE)=0,"-",VLOOKUP($A$11,Database!$1:$1048576,24,FALSE))</f>
        <v>14</v>
      </c>
      <c r="Q44" s="393" t="s">
        <v>607</v>
      </c>
    </row>
    <row r="45" spans="1:28" ht="15.6" x14ac:dyDescent="0.3">
      <c r="A45" s="408" t="s">
        <v>613</v>
      </c>
      <c r="B45" s="401"/>
      <c r="C45" s="401"/>
      <c r="D45" s="401"/>
      <c r="E45" s="401"/>
      <c r="F45" s="441" t="s">
        <v>389</v>
      </c>
      <c r="G45" s="513" t="str">
        <f>IF(VLOOKUP($A$11,Database!$1:$1048576,22,FALSE)=0,"-",VLOOKUP($A$11,Database!$1:$1048576,22,FALSE))</f>
        <v>-</v>
      </c>
      <c r="H45" s="393" t="s">
        <v>607</v>
      </c>
      <c r="I45" s="401"/>
      <c r="J45" s="401"/>
      <c r="K45" s="408" t="s">
        <v>616</v>
      </c>
      <c r="L45" s="401"/>
      <c r="M45" s="401"/>
      <c r="N45" s="401"/>
      <c r="O45" s="409"/>
      <c r="P45" s="513" t="str">
        <f>IF(VLOOKUP($A$11,Database!$1:$1048576,27,FALSE)=0,"-",VLOOKUP($A$11,Database!$1:$1048576,27,FALSE))</f>
        <v>-</v>
      </c>
      <c r="Q45" s="393" t="s">
        <v>607</v>
      </c>
    </row>
    <row r="46" spans="1:28" ht="15.6" x14ac:dyDescent="0.3">
      <c r="A46" s="408" t="s">
        <v>614</v>
      </c>
      <c r="B46" s="401"/>
      <c r="C46" s="401"/>
      <c r="D46" s="401"/>
      <c r="E46" s="401"/>
      <c r="F46" s="441" t="s">
        <v>389</v>
      </c>
      <c r="G46" s="513" t="str">
        <f>IF(VLOOKUP($A$11,Database!$1:$1048576,23,FALSE)=0,"-",VLOOKUP($A$11,Database!$1:$1048576,23,FALSE))</f>
        <v>-</v>
      </c>
      <c r="H46" s="393" t="s">
        <v>607</v>
      </c>
      <c r="I46" s="401"/>
      <c r="J46" s="401"/>
      <c r="K46" s="408" t="s">
        <v>620</v>
      </c>
      <c r="L46" s="401"/>
      <c r="M46" s="401"/>
      <c r="N46" s="401"/>
      <c r="O46" s="409"/>
      <c r="P46" s="423"/>
      <c r="Q46" s="390"/>
    </row>
    <row r="47" spans="1:28" ht="15.6" x14ac:dyDescent="0.3">
      <c r="A47" s="408" t="s">
        <v>437</v>
      </c>
      <c r="B47" s="401"/>
      <c r="C47" s="401"/>
      <c r="D47" s="401"/>
      <c r="E47" s="401"/>
      <c r="F47" s="441" t="s">
        <v>389</v>
      </c>
      <c r="G47" s="467">
        <f>IF(VLOOKUP($A$11,Database!$1:$1048576,21,FALSE)=0,"-",VLOOKUP($A$11,Database!$1:$1048576,31,FALSE))</f>
        <v>12.06</v>
      </c>
      <c r="H47" s="393" t="s">
        <v>410</v>
      </c>
      <c r="I47" s="401" t="s">
        <v>720</v>
      </c>
      <c r="J47" s="401"/>
      <c r="K47" s="408"/>
      <c r="L47" s="401"/>
      <c r="M47" s="401"/>
      <c r="N47" s="401"/>
      <c r="O47" s="409"/>
      <c r="P47" s="423"/>
      <c r="Q47" s="390"/>
    </row>
    <row r="48" spans="1:28" ht="15.6" x14ac:dyDescent="0.3">
      <c r="A48" s="408" t="s">
        <v>662</v>
      </c>
      <c r="B48" s="401"/>
      <c r="C48" s="401"/>
      <c r="D48" s="401"/>
      <c r="E48" s="401"/>
      <c r="F48" s="441" t="s">
        <v>389</v>
      </c>
      <c r="G48" s="513" t="str">
        <f>IF(VLOOKUP($A$11,Database!$1:$1048576,28,FALSE)=0,"-",VLOOKUP($A$11,Database!$1:$1048576,28,FALSE))</f>
        <v>-</v>
      </c>
      <c r="H48" s="393" t="s">
        <v>607</v>
      </c>
      <c r="I48" s="401"/>
      <c r="J48" s="401"/>
      <c r="K48" s="408" t="s">
        <v>717</v>
      </c>
      <c r="L48" s="401"/>
      <c r="M48" s="401"/>
      <c r="N48" s="401"/>
      <c r="O48" s="409" t="s">
        <v>389</v>
      </c>
      <c r="P48" s="513" t="str">
        <f>IF(VLOOKUP($A$11,Database!$1:$1048576,30,FALSE)=0,"-",VLOOKUP($A$11,Database!$1:$1048576,30,FALSE))</f>
        <v>-</v>
      </c>
      <c r="Q48" s="393" t="s">
        <v>607</v>
      </c>
    </row>
    <row r="49" spans="1:20" ht="15.6" x14ac:dyDescent="0.3">
      <c r="A49" s="408" t="s">
        <v>612</v>
      </c>
      <c r="B49" s="401"/>
      <c r="C49" s="401"/>
      <c r="D49" s="401"/>
      <c r="E49" s="401"/>
      <c r="F49" s="441" t="s">
        <v>389</v>
      </c>
      <c r="G49" s="513" t="str">
        <f>IF(VLOOKUP($A$11,Database!$1:$1048576,29,FALSE)=0,"-",VLOOKUP($A$11,Database!$1:$1048576,29,FALSE))</f>
        <v>-</v>
      </c>
      <c r="H49" s="393" t="s">
        <v>607</v>
      </c>
      <c r="I49" s="401"/>
      <c r="J49" s="401"/>
      <c r="K49" s="408"/>
      <c r="L49" s="401"/>
      <c r="M49" s="401"/>
      <c r="N49" s="401"/>
      <c r="O49" s="409"/>
      <c r="P49" s="423"/>
      <c r="Q49" s="390"/>
    </row>
    <row r="50" spans="1:20" ht="15.6" x14ac:dyDescent="0.3">
      <c r="A50" s="408" t="s">
        <v>437</v>
      </c>
      <c r="B50" s="401"/>
      <c r="C50" s="401"/>
      <c r="D50" s="401"/>
      <c r="E50" s="401"/>
      <c r="F50" s="441" t="s">
        <v>389</v>
      </c>
      <c r="G50" s="467" t="str">
        <f>IF(VLOOKUP($A$11,Database!$1:$1048576,28,FALSE)=0,"-",VLOOKUP($A$11,Database!$1:$1048576,31,FALSE))</f>
        <v>-</v>
      </c>
      <c r="H50" s="393" t="s">
        <v>410</v>
      </c>
      <c r="I50" s="401" t="s">
        <v>721</v>
      </c>
      <c r="J50" s="401"/>
      <c r="K50" s="408"/>
      <c r="L50" s="401"/>
      <c r="M50" s="401"/>
      <c r="N50" s="401"/>
      <c r="O50" s="409"/>
      <c r="P50" s="423"/>
      <c r="Q50" s="390"/>
    </row>
    <row r="51" spans="1:20" ht="15.6" x14ac:dyDescent="0.3">
      <c r="A51" s="408" t="s">
        <v>685</v>
      </c>
      <c r="B51" s="401"/>
      <c r="C51" s="401"/>
      <c r="D51" s="401"/>
      <c r="E51" s="401"/>
      <c r="F51" s="441" t="s">
        <v>389</v>
      </c>
      <c r="G51" s="515" t="str">
        <f>IF(VLOOKUP($A$11,Database!$1:$1048576,34,FALSE)=0,"Tre",VLOOKUP($A$11,Database!$1:$1048576,34,FALSE))</f>
        <v>Tre</v>
      </c>
      <c r="H51" s="393"/>
      <c r="I51" s="401"/>
      <c r="J51" s="401"/>
      <c r="K51" s="408"/>
      <c r="L51" s="401"/>
      <c r="M51" s="401"/>
      <c r="N51" s="401"/>
      <c r="O51" s="409"/>
      <c r="P51" s="423"/>
      <c r="Q51" s="390"/>
    </row>
    <row r="52" spans="1:20" ht="15.6" x14ac:dyDescent="0.3">
      <c r="A52" s="408" t="s">
        <v>10</v>
      </c>
      <c r="B52" s="401"/>
      <c r="C52" s="401"/>
      <c r="D52" s="401"/>
      <c r="E52" s="401"/>
      <c r="F52" s="441" t="s">
        <v>389</v>
      </c>
      <c r="G52" s="513">
        <f>IF(VLOOKUP($A$11,Database!$1:$1048576,25,FALSE)=0,"-",VLOOKUP($A$11,Database!$1:$1048576,25,FALSE))</f>
        <v>12.9</v>
      </c>
      <c r="H52" s="393" t="s">
        <v>607</v>
      </c>
      <c r="I52" s="401"/>
      <c r="J52" s="401"/>
      <c r="K52" s="408"/>
      <c r="L52" s="401"/>
      <c r="M52" s="401"/>
      <c r="N52" s="401"/>
      <c r="O52" s="409"/>
      <c r="P52" s="423"/>
      <c r="Q52" s="390"/>
    </row>
    <row r="53" spans="1:20" ht="15.6" x14ac:dyDescent="0.3">
      <c r="A53" s="408" t="s">
        <v>617</v>
      </c>
      <c r="B53" s="401"/>
      <c r="C53" s="401"/>
      <c r="D53" s="401"/>
      <c r="E53" s="401"/>
      <c r="F53" s="441" t="s">
        <v>389</v>
      </c>
      <c r="G53" s="513" t="str">
        <f>IF(VLOOKUP($A$11,Database!$1:$1048576,26,FALSE)=0,"-",VLOOKUP($A$11,Database!$1:$1048576,26,FALSE))</f>
        <v>-</v>
      </c>
      <c r="H53" s="393" t="s">
        <v>607</v>
      </c>
      <c r="I53" s="401"/>
      <c r="J53" s="401"/>
      <c r="K53" s="408"/>
      <c r="L53" s="401"/>
      <c r="M53" s="401"/>
      <c r="N53" s="401"/>
      <c r="O53" s="409"/>
      <c r="P53" s="423"/>
      <c r="Q53" s="390"/>
    </row>
    <row r="54" spans="1:20" ht="15.6" x14ac:dyDescent="0.3">
      <c r="A54" s="408" t="s">
        <v>434</v>
      </c>
      <c r="B54" s="401"/>
      <c r="C54" s="401"/>
      <c r="D54" s="401"/>
      <c r="F54" s="441" t="s">
        <v>389</v>
      </c>
      <c r="G54" s="513">
        <f>IF(VLOOKUP($A$11,Database!$1:$1048576,20,FALSE)=0,"-",VLOOKUP($A$11,Database!$1:$1048576,20,FALSE))</f>
        <v>21.9</v>
      </c>
      <c r="H54" s="393" t="s">
        <v>607</v>
      </c>
      <c r="I54" s="393"/>
      <c r="J54" s="393"/>
      <c r="K54" s="408"/>
      <c r="L54" s="401"/>
      <c r="M54" s="401"/>
      <c r="N54" s="401"/>
      <c r="O54" s="409"/>
      <c r="P54" s="423"/>
      <c r="Q54" s="390"/>
    </row>
    <row r="55" spans="1:20" ht="15.6" x14ac:dyDescent="0.3">
      <c r="A55" s="408" t="s">
        <v>618</v>
      </c>
      <c r="B55" s="401"/>
      <c r="C55" s="401"/>
      <c r="D55" s="401"/>
      <c r="F55" s="441" t="s">
        <v>389</v>
      </c>
      <c r="G55" s="513" t="str">
        <f>IF(VLOOKUP($A$11,Database!$1:$1048576,16,FALSE)=0,"-",VLOOKUP($A$11,Database!$1:$1048576,16,FALSE))</f>
        <v>-</v>
      </c>
      <c r="H55" s="393" t="s">
        <v>607</v>
      </c>
      <c r="I55" s="393"/>
      <c r="J55" s="393"/>
      <c r="K55" s="408"/>
      <c r="L55" s="401"/>
      <c r="M55" s="401"/>
      <c r="N55" s="401"/>
      <c r="O55" s="409"/>
      <c r="P55" s="423"/>
      <c r="Q55" s="390"/>
    </row>
    <row r="56" spans="1:20" ht="15.6" x14ac:dyDescent="0.3">
      <c r="A56" s="408" t="s">
        <v>435</v>
      </c>
      <c r="B56" s="401"/>
      <c r="C56" s="401"/>
      <c r="D56" s="401"/>
      <c r="E56" s="401"/>
      <c r="F56" s="441" t="s">
        <v>389</v>
      </c>
      <c r="G56" s="513">
        <f>IF(VLOOKUP($A$11,Database!$1:$1048576,17,FALSE)=0,"-",VLOOKUP($A$11,Database!$1:$1048576,17,FALSE))</f>
        <v>29.9</v>
      </c>
      <c r="H56" s="393" t="s">
        <v>607</v>
      </c>
      <c r="J56" s="401"/>
      <c r="K56" s="408"/>
      <c r="L56" s="401"/>
      <c r="M56" s="401"/>
      <c r="N56" s="401"/>
      <c r="O56" s="409"/>
      <c r="P56" s="423"/>
      <c r="Q56" s="390"/>
    </row>
    <row r="57" spans="1:20" ht="15.6" x14ac:dyDescent="0.3">
      <c r="A57" s="408" t="s">
        <v>608</v>
      </c>
      <c r="B57" s="401"/>
      <c r="C57" s="401"/>
      <c r="D57" s="401"/>
      <c r="E57" s="403"/>
      <c r="F57" s="441" t="s">
        <v>389</v>
      </c>
      <c r="G57" s="513">
        <f>IF(VLOOKUP($A$11,Database!$1:$1048576,18,FALSE)=0,"-",VLOOKUP($A$11,Database!$1:$1048576,18,FALSE))</f>
        <v>17.8</v>
      </c>
      <c r="H57" s="393" t="s">
        <v>607</v>
      </c>
      <c r="J57" s="401"/>
      <c r="K57" s="408"/>
      <c r="L57" s="401"/>
      <c r="M57" s="401"/>
      <c r="N57" s="401"/>
      <c r="O57" s="409"/>
      <c r="P57" s="423"/>
      <c r="Q57" s="390"/>
    </row>
    <row r="58" spans="1:20" ht="15.6" x14ac:dyDescent="0.3">
      <c r="A58" s="408" t="s">
        <v>609</v>
      </c>
      <c r="B58" s="401"/>
      <c r="C58" s="401"/>
      <c r="D58" s="401"/>
      <c r="E58" s="403"/>
      <c r="F58" s="441" t="s">
        <v>389</v>
      </c>
      <c r="G58" s="513" t="str">
        <f>IF(VLOOKUP($A$11,Database!$1:$1048576,19,FALSE)=0,"-",VLOOKUP($A$11,Database!$1:$1048576,19,FALSE))</f>
        <v>-</v>
      </c>
      <c r="H58" s="393" t="s">
        <v>607</v>
      </c>
      <c r="I58" s="425"/>
      <c r="J58" s="393"/>
      <c r="K58" s="408"/>
      <c r="L58" s="401"/>
      <c r="M58" s="401"/>
      <c r="N58" s="401"/>
      <c r="O58" s="409"/>
      <c r="P58" s="423"/>
      <c r="Q58" s="390"/>
      <c r="T58" s="426"/>
    </row>
    <row r="59" spans="1:20" ht="15.6" x14ac:dyDescent="0.3">
      <c r="A59" s="408" t="s">
        <v>619</v>
      </c>
      <c r="B59" s="401"/>
      <c r="C59" s="401"/>
      <c r="D59" s="401"/>
      <c r="E59" s="403"/>
      <c r="F59" s="441" t="s">
        <v>389</v>
      </c>
      <c r="G59" s="513" t="str">
        <f>IF(VLOOKUP($A$11,Database!$1:$1048576,15,FALSE)=0,"-",VLOOKUP($A$11,Database!$1:$1048576,15,FALSE))</f>
        <v>-</v>
      </c>
      <c r="H59" s="393" t="s">
        <v>607</v>
      </c>
      <c r="I59" s="425"/>
      <c r="J59" s="393"/>
      <c r="K59" s="408"/>
      <c r="L59" s="401"/>
      <c r="M59" s="401"/>
      <c r="N59" s="401"/>
      <c r="O59" s="409"/>
      <c r="P59" s="423"/>
      <c r="Q59" s="390"/>
      <c r="T59" s="426"/>
    </row>
    <row r="60" spans="1:20" ht="15.6" x14ac:dyDescent="0.3">
      <c r="A60" s="408" t="s">
        <v>440</v>
      </c>
      <c r="B60" s="401"/>
      <c r="C60" s="401"/>
      <c r="D60" s="401"/>
      <c r="E60" s="403"/>
      <c r="F60" s="441" t="s">
        <v>389</v>
      </c>
      <c r="G60" s="519" t="str">
        <f>IF(VLOOKUP($A$11,Database!$1:$1048576,32,FALSE)=0,"Dacron",VLOOKUP($A$11,Database!$1:$1048576,32,FALSE))</f>
        <v>Clipper</v>
      </c>
      <c r="H60" s="393"/>
      <c r="I60" s="425"/>
      <c r="J60" s="393"/>
      <c r="K60" s="408"/>
      <c r="L60" s="401"/>
      <c r="M60" s="401"/>
      <c r="N60" s="401"/>
      <c r="O60" s="409"/>
      <c r="P60" s="423"/>
      <c r="Q60" s="390"/>
      <c r="R60" s="392"/>
      <c r="S60" s="545"/>
      <c r="T60" s="426"/>
    </row>
    <row r="61" spans="1:20" s="403" customFormat="1" ht="17.399999999999999" x14ac:dyDescent="0.3">
      <c r="A61" s="421" t="s">
        <v>723</v>
      </c>
      <c r="F61" s="449"/>
      <c r="G61" s="517"/>
      <c r="H61" s="393"/>
      <c r="I61" s="425"/>
      <c r="J61" s="393"/>
      <c r="K61" s="393"/>
      <c r="O61" s="449"/>
      <c r="P61" s="518"/>
      <c r="Q61" s="393"/>
      <c r="R61" s="392"/>
      <c r="S61" s="545"/>
      <c r="T61" s="546"/>
    </row>
    <row r="62" spans="1:20" ht="15.6" x14ac:dyDescent="0.3">
      <c r="A62" s="408" t="s">
        <v>626</v>
      </c>
      <c r="B62" s="401"/>
      <c r="C62" s="401"/>
      <c r="D62" s="401"/>
      <c r="E62" s="403"/>
      <c r="F62" s="409"/>
      <c r="G62" s="514">
        <f>IF(VLOOKUP($A$11,Database!$1:$1048576,60,FALSE)=0,"-",VLOOKUP($A$11,Database!$1:$1048576,60,FALSE))</f>
        <v>85</v>
      </c>
      <c r="H62" s="393" t="s">
        <v>403</v>
      </c>
      <c r="I62" s="425"/>
      <c r="J62" s="393"/>
      <c r="K62" s="408"/>
      <c r="L62" s="401"/>
      <c r="M62" s="401"/>
      <c r="N62" s="401"/>
      <c r="O62" s="409"/>
      <c r="P62" s="423"/>
      <c r="Q62" s="390"/>
      <c r="R62" s="392"/>
      <c r="S62" s="545"/>
      <c r="T62" s="426"/>
    </row>
    <row r="63" spans="1:20" ht="15.6" x14ac:dyDescent="0.3">
      <c r="A63" s="408" t="s">
        <v>628</v>
      </c>
      <c r="B63" s="401"/>
      <c r="C63" s="401"/>
      <c r="D63" s="401"/>
      <c r="E63" s="403"/>
      <c r="F63" s="409"/>
      <c r="G63" s="514">
        <f>IF(VLOOKUP($A$11,Database!$1:$1048576,59,FALSE)=0,"-",VLOOKUP($A$11,Database!$1:$1048576,59,FALSE))</f>
        <v>3</v>
      </c>
      <c r="H63" s="393" t="s">
        <v>629</v>
      </c>
      <c r="I63" s="425"/>
      <c r="J63" s="393"/>
      <c r="K63" s="408"/>
      <c r="L63" s="401"/>
      <c r="M63" s="401"/>
      <c r="N63" s="401"/>
      <c r="O63" s="409"/>
      <c r="P63" s="423"/>
      <c r="Q63" s="390"/>
      <c r="R63" s="392"/>
      <c r="S63" s="545"/>
      <c r="T63" s="426"/>
    </row>
    <row r="64" spans="1:20" ht="15.6" x14ac:dyDescent="0.3">
      <c r="A64" s="408" t="s">
        <v>627</v>
      </c>
      <c r="B64" s="401"/>
      <c r="C64" s="401"/>
      <c r="D64" s="401"/>
      <c r="E64" s="403"/>
      <c r="F64" s="409"/>
      <c r="G64" s="514" t="str">
        <f>IF(VLOOKUP($A$11,Database!$1:$1048576,58,FALSE)=0,"-",VLOOKUP($A$11,Database!$1:$1048576,58,FALSE))</f>
        <v>Seilrett</v>
      </c>
      <c r="H64" s="393"/>
      <c r="I64" s="425"/>
      <c r="J64" s="393"/>
      <c r="K64" s="408"/>
      <c r="L64" s="401"/>
      <c r="M64" s="401"/>
      <c r="N64" s="401"/>
      <c r="O64" s="409"/>
      <c r="P64" s="423"/>
      <c r="Q64" s="390"/>
      <c r="R64" s="392"/>
      <c r="S64" s="545"/>
      <c r="T64" s="426"/>
    </row>
    <row r="65" spans="1:20" ht="15.6" x14ac:dyDescent="0.3">
      <c r="A65" s="408" t="s">
        <v>659</v>
      </c>
      <c r="B65" s="401"/>
      <c r="C65" s="401"/>
      <c r="D65" s="401"/>
      <c r="E65" s="403"/>
      <c r="F65" s="409"/>
      <c r="G65" s="514">
        <f>IF(VLOOKUP($A$11,Database!$1:$1048576,45,FALSE)=0,"-",VLOOKUP($A$11,Database!$1:$1048576,45,FALSE))</f>
        <v>135</v>
      </c>
      <c r="H65" s="393" t="s">
        <v>665</v>
      </c>
      <c r="I65" s="425"/>
      <c r="J65" s="393"/>
      <c r="K65" s="408"/>
      <c r="L65" s="401"/>
      <c r="M65" s="401"/>
      <c r="N65" s="401"/>
      <c r="O65" s="409"/>
      <c r="P65" s="423"/>
      <c r="Q65" s="390"/>
      <c r="R65" s="392"/>
      <c r="S65" s="545"/>
      <c r="T65" s="426"/>
    </row>
    <row r="66" spans="1:20" ht="15.6" x14ac:dyDescent="0.3">
      <c r="A66" s="408" t="s">
        <v>660</v>
      </c>
      <c r="B66" s="401"/>
      <c r="C66" s="401"/>
      <c r="D66" s="401"/>
      <c r="E66" s="403"/>
      <c r="F66" s="409"/>
      <c r="G66" s="514">
        <f>IF(VLOOKUP($A$11,Database!$1:$1048576,46,FALSE)=0,"-",VLOOKUP($A$11,Database!$1:$1048576,46,FALSE))</f>
        <v>1300</v>
      </c>
      <c r="H66" s="393" t="s">
        <v>666</v>
      </c>
      <c r="I66" s="425"/>
      <c r="J66" s="393"/>
      <c r="K66" s="408"/>
      <c r="L66" s="401"/>
      <c r="M66" s="401"/>
      <c r="N66" s="401"/>
      <c r="O66" s="409"/>
      <c r="P66" s="423"/>
      <c r="Q66" s="390"/>
      <c r="R66" s="392"/>
      <c r="S66" s="545"/>
      <c r="T66" s="426"/>
    </row>
    <row r="67" spans="1:20" ht="15.6" x14ac:dyDescent="0.3">
      <c r="A67" s="408" t="s">
        <v>661</v>
      </c>
      <c r="B67" s="401"/>
      <c r="C67" s="401"/>
      <c r="D67" s="401"/>
      <c r="E67" s="403"/>
      <c r="F67" s="409"/>
      <c r="G67" s="514">
        <f>IF(VLOOKUP($A$11,Database!$1:$1048576,47,FALSE)=0,"-",VLOOKUP($A$11,Database!$1:$1048576,47,FALSE))</f>
        <v>300</v>
      </c>
      <c r="H67" s="393" t="s">
        <v>666</v>
      </c>
      <c r="I67" s="425"/>
      <c r="J67" s="393"/>
      <c r="K67" s="408"/>
      <c r="L67" s="401"/>
      <c r="M67" s="401"/>
      <c r="N67" s="401"/>
      <c r="O67" s="409"/>
      <c r="P67" s="423"/>
      <c r="Q67" s="390"/>
      <c r="R67" s="392"/>
      <c r="S67" s="545"/>
      <c r="T67" s="426"/>
    </row>
    <row r="68" spans="1:20" s="401" customFormat="1" ht="15.6" x14ac:dyDescent="0.3">
      <c r="A68" s="408"/>
      <c r="E68" s="400"/>
      <c r="F68" s="400"/>
      <c r="G68" s="558"/>
      <c r="O68" s="409"/>
      <c r="P68" s="559"/>
    </row>
    <row r="69" spans="1:20" ht="15.6" x14ac:dyDescent="0.3">
      <c r="A69" s="430" t="s">
        <v>700</v>
      </c>
      <c r="B69" s="401"/>
      <c r="C69" s="401"/>
      <c r="D69" s="401"/>
      <c r="E69" s="401"/>
      <c r="F69" s="401"/>
      <c r="G69" s="400"/>
      <c r="H69" s="401"/>
      <c r="I69" s="401"/>
      <c r="J69" s="401"/>
      <c r="K69" s="401"/>
      <c r="L69" s="401"/>
      <c r="M69" s="401"/>
      <c r="N69" s="401"/>
      <c r="O69" s="401"/>
      <c r="P69" s="401"/>
      <c r="Q69" s="401"/>
    </row>
    <row r="70" spans="1:20" ht="13.5" customHeight="1" x14ac:dyDescent="0.3">
      <c r="A70" s="384" t="s">
        <v>633</v>
      </c>
      <c r="B70" s="401"/>
      <c r="C70" s="401"/>
      <c r="D70" s="401"/>
      <c r="E70" s="401"/>
      <c r="F70" s="401"/>
      <c r="G70" s="400"/>
      <c r="H70" s="401"/>
      <c r="I70" s="401"/>
      <c r="J70" s="401"/>
      <c r="K70" s="401"/>
      <c r="L70" s="401"/>
      <c r="M70" s="401"/>
      <c r="N70" s="401"/>
      <c r="O70" s="401"/>
      <c r="P70" s="401"/>
      <c r="Q70" s="401"/>
    </row>
    <row r="71" spans="1:20" ht="13.5" customHeight="1" x14ac:dyDescent="0.3">
      <c r="A71" s="384"/>
      <c r="B71" s="401"/>
      <c r="C71" s="401"/>
      <c r="D71" s="401"/>
      <c r="E71" s="401"/>
      <c r="F71" s="401"/>
      <c r="G71" s="400"/>
      <c r="H71" s="401"/>
      <c r="I71" s="401"/>
      <c r="J71" s="401"/>
      <c r="K71" s="401"/>
      <c r="L71" s="401"/>
      <c r="M71" s="401"/>
      <c r="N71" s="401"/>
      <c r="O71" s="401"/>
      <c r="P71" s="401"/>
      <c r="Q71" s="401"/>
    </row>
    <row r="72" spans="1:20" ht="13.5" customHeight="1" x14ac:dyDescent="0.3">
      <c r="A72" s="383" t="s">
        <v>372</v>
      </c>
      <c r="B72"/>
      <c r="C72"/>
      <c r="D72" s="401"/>
      <c r="E72" s="401"/>
      <c r="F72" s="401"/>
      <c r="G72" s="400"/>
      <c r="H72" s="401"/>
      <c r="I72" s="401"/>
      <c r="J72" s="401"/>
      <c r="K72" s="401"/>
      <c r="L72" s="401"/>
      <c r="M72" s="401"/>
      <c r="N72" s="401"/>
      <c r="O72" s="401"/>
      <c r="P72" s="401"/>
      <c r="Q72" s="401"/>
    </row>
    <row r="73" spans="1:20" ht="49.95" customHeight="1" x14ac:dyDescent="0.25">
      <c r="A73" s="583" t="s">
        <v>635</v>
      </c>
      <c r="B73" s="583"/>
      <c r="C73" s="583"/>
      <c r="D73" s="583"/>
      <c r="E73" s="583"/>
      <c r="F73" s="583"/>
      <c r="G73" s="583"/>
      <c r="H73" s="583"/>
      <c r="I73" s="583"/>
      <c r="J73" s="583"/>
      <c r="K73" s="583"/>
      <c r="L73" s="583"/>
      <c r="M73" s="583"/>
      <c r="N73" s="583"/>
      <c r="O73" s="583"/>
      <c r="P73" s="583"/>
      <c r="Q73" s="583"/>
    </row>
    <row r="74" spans="1:20" ht="13.5" customHeight="1" x14ac:dyDescent="0.3">
      <c r="A74" s="382"/>
      <c r="B74"/>
      <c r="C74"/>
      <c r="D74" s="401"/>
      <c r="E74" s="401"/>
      <c r="F74" s="401"/>
      <c r="G74" s="400"/>
      <c r="H74" s="401"/>
      <c r="I74" s="401"/>
      <c r="J74" s="401"/>
      <c r="K74" s="401"/>
      <c r="L74" s="401"/>
      <c r="M74" s="401"/>
      <c r="N74" s="401"/>
      <c r="O74" s="401"/>
      <c r="P74" s="401"/>
      <c r="Q74" s="401"/>
    </row>
    <row r="75" spans="1:20" ht="16.8" x14ac:dyDescent="0.3">
      <c r="A75" s="387" t="s">
        <v>378</v>
      </c>
      <c r="B75"/>
      <c r="C75"/>
      <c r="D75" s="401"/>
      <c r="E75" s="401"/>
      <c r="F75" s="401"/>
      <c r="G75" s="400"/>
      <c r="H75" s="401"/>
      <c r="I75" s="401"/>
      <c r="J75" s="401"/>
      <c r="K75" s="401"/>
      <c r="L75" s="401"/>
      <c r="M75" s="401"/>
      <c r="N75" s="401"/>
      <c r="O75" s="401"/>
      <c r="P75" s="401"/>
      <c r="Q75" s="401"/>
    </row>
    <row r="76" spans="1:20" ht="31.95" customHeight="1" x14ac:dyDescent="0.25">
      <c r="A76" s="584" t="s">
        <v>622</v>
      </c>
      <c r="B76" s="584"/>
      <c r="C76" s="584"/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584"/>
      <c r="Q76" s="584"/>
    </row>
    <row r="77" spans="1:20" ht="15.6" x14ac:dyDescent="0.3">
      <c r="A77" s="383"/>
      <c r="B77"/>
      <c r="C77"/>
      <c r="D77" s="401"/>
      <c r="E77" s="401"/>
      <c r="F77" s="401"/>
      <c r="G77" s="400"/>
      <c r="H77" s="401"/>
      <c r="I77" s="401"/>
      <c r="J77" s="401"/>
      <c r="K77" s="401"/>
      <c r="L77" s="401"/>
      <c r="M77" s="401"/>
      <c r="N77" s="401"/>
      <c r="O77" s="401"/>
      <c r="P77" s="401"/>
      <c r="Q77" s="401"/>
    </row>
    <row r="78" spans="1:20" ht="16.8" x14ac:dyDescent="0.3">
      <c r="A78" s="387" t="s">
        <v>623</v>
      </c>
      <c r="B78"/>
      <c r="C78"/>
      <c r="D78" s="401"/>
      <c r="E78" s="401"/>
      <c r="F78" s="401"/>
      <c r="G78" s="400"/>
      <c r="H78" s="401"/>
      <c r="I78" s="401"/>
      <c r="J78" s="401"/>
      <c r="K78" s="401"/>
      <c r="L78" s="401"/>
      <c r="M78" s="401"/>
      <c r="N78" s="401"/>
      <c r="O78" s="401"/>
      <c r="P78" s="401"/>
      <c r="Q78" s="401"/>
    </row>
    <row r="79" spans="1:20" ht="31.95" customHeight="1" x14ac:dyDescent="0.25">
      <c r="A79" s="584" t="s">
        <v>624</v>
      </c>
      <c r="B79" s="584"/>
      <c r="C79" s="584"/>
      <c r="D79" s="584"/>
      <c r="E79" s="584"/>
      <c r="F79" s="584"/>
      <c r="G79" s="584"/>
      <c r="H79" s="584"/>
      <c r="I79" s="584"/>
      <c r="J79" s="584"/>
      <c r="K79" s="584"/>
      <c r="L79" s="584"/>
      <c r="M79" s="584"/>
      <c r="N79" s="584"/>
      <c r="O79" s="584"/>
      <c r="P79" s="584"/>
      <c r="Q79" s="584"/>
    </row>
    <row r="80" spans="1:20" s="403" customFormat="1" ht="13.5" customHeight="1" thickBot="1" x14ac:dyDescent="0.25">
      <c r="A80" s="565"/>
      <c r="B80" s="566"/>
      <c r="C80" s="566"/>
      <c r="G80" s="392"/>
    </row>
    <row r="81" spans="1:17" ht="19.95" customHeight="1" x14ac:dyDescent="0.3">
      <c r="A81" s="572" t="s">
        <v>701</v>
      </c>
      <c r="B81" s="573"/>
      <c r="C81" s="573"/>
      <c r="D81" s="574"/>
      <c r="E81" s="574"/>
      <c r="F81" s="574"/>
      <c r="G81" s="575"/>
      <c r="H81" s="574"/>
      <c r="I81" s="574"/>
      <c r="J81" s="576"/>
      <c r="K81" s="401"/>
      <c r="L81" s="401"/>
      <c r="M81" s="401"/>
      <c r="N81" s="401"/>
      <c r="O81" s="401"/>
      <c r="P81" s="401"/>
      <c r="Q81" s="401"/>
    </row>
    <row r="82" spans="1:17" s="548" customFormat="1" ht="25.2" x14ac:dyDescent="0.3">
      <c r="A82" s="577" t="str">
        <f>A11</f>
        <v>RS 30 Risør II</v>
      </c>
      <c r="F82" s="578"/>
      <c r="J82" s="579"/>
      <c r="K82" s="549"/>
      <c r="L82" s="550"/>
    </row>
    <row r="83" spans="1:17" ht="19.95" customHeight="1" thickBot="1" x14ac:dyDescent="0.3">
      <c r="A83" s="580" t="s">
        <v>702</v>
      </c>
      <c r="B83" s="581"/>
      <c r="C83" s="581"/>
      <c r="D83" s="581"/>
      <c r="E83" s="581"/>
      <c r="F83" s="581"/>
      <c r="G83" s="581"/>
      <c r="H83" s="581"/>
      <c r="I83" s="581"/>
      <c r="J83" s="582"/>
      <c r="K83" s="547"/>
      <c r="L83" s="547"/>
      <c r="M83" s="547"/>
      <c r="N83" s="547"/>
      <c r="O83" s="547"/>
      <c r="P83" s="547"/>
      <c r="Q83" s="547"/>
    </row>
    <row r="84" spans="1:17" ht="13.5" customHeight="1" x14ac:dyDescent="0.3">
      <c r="A84" s="382"/>
      <c r="B84"/>
      <c r="C84"/>
      <c r="D84" s="401"/>
      <c r="E84" s="401"/>
      <c r="F84" s="401"/>
      <c r="G84" s="400"/>
      <c r="H84" s="401"/>
      <c r="I84" s="401"/>
      <c r="J84" s="401"/>
      <c r="K84" s="401"/>
      <c r="L84" s="401"/>
      <c r="M84" s="401"/>
      <c r="N84" s="401"/>
      <c r="O84" s="401"/>
      <c r="P84" s="401"/>
      <c r="Q84" s="401"/>
    </row>
    <row r="85" spans="1:17" ht="13.5" customHeight="1" x14ac:dyDescent="0.3">
      <c r="A85" s="382" t="s">
        <v>634</v>
      </c>
      <c r="B85"/>
      <c r="C85"/>
      <c r="D85" s="427"/>
      <c r="E85" s="427"/>
      <c r="F85" s="427"/>
      <c r="G85" s="520"/>
      <c r="H85" s="427"/>
      <c r="I85" s="401"/>
      <c r="J85" s="401"/>
      <c r="K85" s="401"/>
      <c r="L85" s="401"/>
      <c r="M85" s="401"/>
      <c r="N85" s="401"/>
      <c r="O85" s="401"/>
      <c r="P85" s="401"/>
      <c r="Q85" s="401"/>
    </row>
    <row r="86" spans="1:17" ht="13.5" customHeight="1" x14ac:dyDescent="0.3">
      <c r="A86" s="382"/>
      <c r="B86"/>
      <c r="C86"/>
      <c r="D86" s="401"/>
      <c r="E86" s="401"/>
      <c r="F86" s="401"/>
      <c r="G86" s="400"/>
      <c r="H86" s="401"/>
      <c r="I86" s="401"/>
      <c r="J86" s="401"/>
      <c r="K86" s="401"/>
      <c r="L86" s="401"/>
      <c r="M86" s="401"/>
      <c r="N86" s="401"/>
      <c r="O86" s="401"/>
      <c r="P86" s="401"/>
      <c r="Q86" s="401"/>
    </row>
    <row r="87" spans="1:17" ht="13.5" customHeight="1" x14ac:dyDescent="0.3">
      <c r="A87" s="382"/>
      <c r="B87"/>
      <c r="C87"/>
      <c r="D87" s="401"/>
      <c r="E87" s="401"/>
      <c r="F87" s="401"/>
      <c r="G87" s="400"/>
      <c r="H87" s="401"/>
      <c r="I87" s="401"/>
      <c r="J87" s="401"/>
      <c r="K87" s="401"/>
      <c r="L87" s="401"/>
      <c r="M87" s="401"/>
      <c r="N87" s="401"/>
      <c r="O87" s="401"/>
      <c r="P87" s="401"/>
      <c r="Q87" s="401"/>
    </row>
    <row r="88" spans="1:17" ht="13.5" customHeight="1" x14ac:dyDescent="0.3">
      <c r="A88" s="382" t="s">
        <v>625</v>
      </c>
      <c r="B88"/>
      <c r="C88"/>
      <c r="D88" s="427"/>
      <c r="E88" s="427"/>
      <c r="F88" s="427"/>
      <c r="G88" s="520"/>
      <c r="H88" s="427"/>
      <c r="I88" s="427"/>
      <c r="J88" s="427"/>
      <c r="K88" s="427"/>
      <c r="L88" s="427"/>
      <c r="M88" s="427"/>
      <c r="N88" s="427"/>
      <c r="O88" s="427"/>
      <c r="P88" s="427"/>
      <c r="Q88" s="401"/>
    </row>
    <row r="89" spans="1:17" ht="16.2" x14ac:dyDescent="0.35">
      <c r="A89" s="382"/>
      <c r="B89"/>
      <c r="C89"/>
      <c r="D89" s="401"/>
      <c r="E89" s="430"/>
      <c r="F89" s="521" t="s">
        <v>598</v>
      </c>
      <c r="G89" s="447">
        <f ca="1">TODAY()</f>
        <v>45143</v>
      </c>
      <c r="I89" s="393"/>
      <c r="J89" s="392" t="s">
        <v>599</v>
      </c>
      <c r="K89" s="448" t="s">
        <v>137</v>
      </c>
      <c r="L89" s="401"/>
      <c r="M89" s="401"/>
      <c r="O89" s="419" t="s">
        <v>621</v>
      </c>
      <c r="P89" s="401"/>
      <c r="Q89" s="401"/>
    </row>
    <row r="90" spans="1:17" ht="13.5" customHeight="1" x14ac:dyDescent="0.3">
      <c r="A90" s="382"/>
      <c r="B90"/>
      <c r="C90"/>
      <c r="D90" s="430"/>
      <c r="E90" s="430"/>
      <c r="F90" s="410"/>
      <c r="G90" s="447"/>
      <c r="H90" s="401"/>
      <c r="I90" s="401"/>
      <c r="J90" s="401"/>
      <c r="K90" s="419"/>
      <c r="L90" s="401"/>
      <c r="M90" s="401"/>
      <c r="O90" s="419"/>
      <c r="Q90" s="401"/>
    </row>
    <row r="91" spans="1:17" ht="13.5" customHeight="1" x14ac:dyDescent="0.3">
      <c r="A91" s="382"/>
      <c r="B91"/>
      <c r="C91"/>
      <c r="D91" s="430"/>
      <c r="E91" s="430"/>
      <c r="F91" s="410"/>
      <c r="G91" s="447"/>
      <c r="H91" s="401"/>
      <c r="I91" s="401"/>
      <c r="J91" s="401"/>
      <c r="K91" s="419"/>
      <c r="L91" s="401"/>
      <c r="M91" s="401"/>
      <c r="O91" s="419"/>
      <c r="Q91" s="401"/>
    </row>
    <row r="92" spans="1:17" ht="13.5" customHeight="1" x14ac:dyDescent="0.3">
      <c r="A92" s="382"/>
      <c r="B92"/>
      <c r="C92" s="382"/>
      <c r="D92" s="430"/>
      <c r="E92" s="430"/>
      <c r="F92" s="410"/>
      <c r="G92" s="447"/>
      <c r="H92" s="401"/>
      <c r="I92" s="401"/>
      <c r="J92" s="401"/>
      <c r="K92" s="401"/>
      <c r="L92" s="401"/>
      <c r="M92" s="401"/>
      <c r="O92" s="419"/>
      <c r="P92" s="401"/>
      <c r="Q92" s="401"/>
    </row>
    <row r="93" spans="1:17" ht="13.5" customHeight="1" x14ac:dyDescent="0.3">
      <c r="A93" s="382"/>
      <c r="B93"/>
      <c r="C93" s="382"/>
      <c r="D93" s="430"/>
      <c r="E93" s="430"/>
      <c r="F93" s="410"/>
      <c r="G93" s="447"/>
      <c r="H93" s="401"/>
      <c r="I93" s="401"/>
      <c r="J93" s="401"/>
      <c r="K93" s="401"/>
      <c r="L93" s="401"/>
      <c r="M93" s="401"/>
      <c r="O93" s="419"/>
      <c r="P93" s="401"/>
      <c r="Q93" s="401"/>
    </row>
    <row r="94" spans="1:17" ht="13.5" customHeight="1" x14ac:dyDescent="0.3">
      <c r="A94" s="382"/>
      <c r="B94"/>
      <c r="C94" s="382"/>
      <c r="D94" s="430"/>
      <c r="E94" s="430"/>
      <c r="F94" s="410"/>
      <c r="G94" s="447"/>
      <c r="H94" s="401"/>
      <c r="I94" s="401"/>
      <c r="J94" s="401"/>
      <c r="K94" s="401"/>
      <c r="L94" s="401"/>
      <c r="M94" s="401"/>
      <c r="O94" s="419"/>
      <c r="P94" s="401"/>
      <c r="Q94" s="401"/>
    </row>
    <row r="95" spans="1:17" ht="13.5" customHeight="1" x14ac:dyDescent="0.3">
      <c r="A95" s="382"/>
      <c r="B95"/>
      <c r="C95" s="382"/>
      <c r="D95" s="430"/>
      <c r="E95" s="430"/>
      <c r="F95" s="410"/>
      <c r="G95" s="447"/>
      <c r="H95" s="401"/>
      <c r="I95" s="401"/>
      <c r="J95" s="401"/>
      <c r="K95" s="401"/>
      <c r="L95" s="401"/>
      <c r="M95" s="401"/>
      <c r="O95" s="419"/>
      <c r="P95" s="401"/>
      <c r="Q95" s="401"/>
    </row>
    <row r="96" spans="1:17" ht="13.5" customHeight="1" x14ac:dyDescent="0.3">
      <c r="A96" s="382"/>
      <c r="B96"/>
      <c r="C96" s="382"/>
      <c r="D96" s="430"/>
      <c r="E96" s="430"/>
      <c r="F96" s="410"/>
      <c r="G96" s="447"/>
      <c r="H96" s="401"/>
      <c r="I96" s="401"/>
      <c r="J96" s="401"/>
      <c r="K96" s="401"/>
      <c r="L96" s="401"/>
      <c r="M96" s="401"/>
      <c r="O96" s="419"/>
      <c r="P96" s="401"/>
      <c r="Q96" s="401"/>
    </row>
    <row r="97" spans="1:20" s="464" customFormat="1" ht="13.5" customHeight="1" x14ac:dyDescent="0.25">
      <c r="A97" s="390" t="s">
        <v>426</v>
      </c>
      <c r="B97" s="391"/>
      <c r="C97" s="391"/>
      <c r="D97" s="391"/>
      <c r="E97" s="391"/>
      <c r="F97" s="441" t="s">
        <v>389</v>
      </c>
      <c r="G97" s="469"/>
      <c r="H97" s="391" t="s">
        <v>427</v>
      </c>
      <c r="I97" s="391" t="s">
        <v>428</v>
      </c>
      <c r="J97" s="391"/>
      <c r="K97" s="391"/>
      <c r="L97" s="391"/>
      <c r="M97" s="391"/>
      <c r="N97" s="391"/>
      <c r="O97" s="391"/>
      <c r="P97" s="391"/>
      <c r="Q97" s="390"/>
      <c r="R97" s="391"/>
      <c r="S97" s="391"/>
      <c r="T97" s="391"/>
    </row>
    <row r="98" spans="1:20" s="464" customFormat="1" ht="13.5" customHeight="1" x14ac:dyDescent="0.25">
      <c r="A98" s="390" t="s">
        <v>429</v>
      </c>
      <c r="B98" s="391"/>
      <c r="C98" s="391"/>
      <c r="D98" s="391"/>
      <c r="E98" s="391"/>
      <c r="F98" s="441" t="s">
        <v>389</v>
      </c>
      <c r="G98" s="469"/>
      <c r="H98" s="391" t="s">
        <v>427</v>
      </c>
      <c r="I98" s="391" t="s">
        <v>430</v>
      </c>
      <c r="J98" s="391"/>
      <c r="K98" s="391"/>
      <c r="L98" s="391"/>
      <c r="M98" s="391"/>
      <c r="N98" s="391"/>
      <c r="O98" s="391"/>
      <c r="P98" s="391"/>
      <c r="Q98" s="390"/>
      <c r="R98" s="391"/>
      <c r="S98" s="391"/>
      <c r="T98" s="391"/>
    </row>
    <row r="99" spans="1:20" s="464" customFormat="1" ht="13.5" customHeight="1" x14ac:dyDescent="0.25">
      <c r="A99" s="390" t="s">
        <v>431</v>
      </c>
      <c r="B99" s="391"/>
      <c r="C99" s="391"/>
      <c r="D99" s="391"/>
      <c r="E99" s="391"/>
      <c r="F99" s="441" t="s">
        <v>389</v>
      </c>
      <c r="G99" s="469"/>
      <c r="H99" s="390" t="s">
        <v>427</v>
      </c>
      <c r="I99" s="391" t="s">
        <v>430</v>
      </c>
      <c r="J99" s="391"/>
      <c r="K99" s="391"/>
      <c r="L99" s="391"/>
      <c r="M99" s="391"/>
      <c r="N99" s="391"/>
      <c r="O99" s="391"/>
      <c r="P99" s="391"/>
      <c r="Q99" s="390"/>
      <c r="R99" s="391"/>
      <c r="S99" s="391"/>
      <c r="T99" s="391"/>
    </row>
    <row r="100" spans="1:20" x14ac:dyDescent="0.25">
      <c r="A100" s="390" t="s">
        <v>432</v>
      </c>
      <c r="F100" s="441" t="s">
        <v>389</v>
      </c>
      <c r="G100" s="469"/>
      <c r="H100" s="391" t="s">
        <v>427</v>
      </c>
      <c r="I100" s="391" t="s">
        <v>430</v>
      </c>
      <c r="Q100" s="390"/>
    </row>
    <row r="101" spans="1:20" ht="15.6" x14ac:dyDescent="0.3">
      <c r="A101" s="391"/>
      <c r="K101" s="402"/>
    </row>
    <row r="102" spans="1:20" ht="15.6" x14ac:dyDescent="0.3">
      <c r="A102" s="391"/>
      <c r="K102" s="402"/>
    </row>
    <row r="103" spans="1:20" ht="15.6" x14ac:dyDescent="0.3">
      <c r="A103" s="391"/>
      <c r="K103" s="402"/>
    </row>
    <row r="104" spans="1:20" x14ac:dyDescent="0.25">
      <c r="A104" s="391"/>
    </row>
    <row r="105" spans="1:20" ht="15.6" x14ac:dyDescent="0.3">
      <c r="A105" s="391"/>
      <c r="K105" s="429" t="s">
        <v>436</v>
      </c>
      <c r="L105" s="430"/>
      <c r="M105" s="430"/>
      <c r="N105" s="430"/>
      <c r="O105" s="409" t="s">
        <v>389</v>
      </c>
      <c r="P105" s="431"/>
      <c r="Q105" s="432" t="s">
        <v>433</v>
      </c>
      <c r="S105" s="433"/>
    </row>
    <row r="106" spans="1:20" ht="15.6" x14ac:dyDescent="0.3">
      <c r="B106" s="390"/>
      <c r="C106" s="390"/>
      <c r="D106" s="390"/>
      <c r="E106" s="390"/>
      <c r="F106" s="390"/>
      <c r="G106" s="390"/>
      <c r="H106" s="390"/>
      <c r="I106" s="390"/>
      <c r="J106" s="390"/>
      <c r="K106" s="424" t="s">
        <v>438</v>
      </c>
      <c r="L106" s="434"/>
      <c r="M106" s="434"/>
      <c r="N106" s="434"/>
      <c r="O106" s="435" t="s">
        <v>389</v>
      </c>
      <c r="P106" s="436"/>
      <c r="Q106" s="405" t="s">
        <v>439</v>
      </c>
      <c r="R106" s="437"/>
      <c r="S106" s="438"/>
    </row>
    <row r="107" spans="1:20" ht="15.6" x14ac:dyDescent="0.3">
      <c r="K107" s="439" t="s">
        <v>441</v>
      </c>
      <c r="L107" s="401"/>
      <c r="M107" s="401"/>
      <c r="N107" s="401"/>
      <c r="O107" s="409" t="s">
        <v>389</v>
      </c>
      <c r="P107" s="440"/>
      <c r="Q107" s="419" t="s">
        <v>427</v>
      </c>
      <c r="R107" s="441" t="s">
        <v>404</v>
      </c>
      <c r="S107" s="442"/>
    </row>
    <row r="108" spans="1:20" ht="15.6" x14ac:dyDescent="0.3">
      <c r="K108" s="391" t="s">
        <v>442</v>
      </c>
      <c r="L108" s="401"/>
      <c r="M108" s="401"/>
      <c r="N108" s="401"/>
      <c r="O108" s="409" t="s">
        <v>389</v>
      </c>
      <c r="P108" s="440"/>
      <c r="Q108" s="419" t="s">
        <v>427</v>
      </c>
      <c r="R108" s="441" t="s">
        <v>404</v>
      </c>
      <c r="S108" s="442"/>
    </row>
    <row r="109" spans="1:20" ht="15.6" x14ac:dyDescent="0.3">
      <c r="K109" s="422" t="s">
        <v>443</v>
      </c>
      <c r="L109" s="427"/>
      <c r="M109" s="427"/>
      <c r="N109" s="427"/>
      <c r="O109" s="428" t="s">
        <v>389</v>
      </c>
      <c r="P109" s="445"/>
      <c r="Q109" s="446" t="s">
        <v>427</v>
      </c>
      <c r="R109" s="443" t="s">
        <v>404</v>
      </c>
      <c r="S109" s="444"/>
    </row>
    <row r="110" spans="1:20" x14ac:dyDescent="0.25">
      <c r="A110" s="451"/>
      <c r="B110" s="450"/>
      <c r="C110" s="450"/>
      <c r="D110" s="450"/>
      <c r="E110" s="450"/>
      <c r="F110" s="450"/>
      <c r="G110" s="452"/>
      <c r="H110" s="450"/>
      <c r="I110" s="450"/>
      <c r="J110" s="450"/>
      <c r="K110" s="450"/>
      <c r="L110" s="450"/>
      <c r="M110" s="450"/>
      <c r="N110" s="420"/>
      <c r="O110" s="420"/>
      <c r="P110" s="420"/>
      <c r="Q110" s="420"/>
      <c r="R110" s="420"/>
      <c r="S110" s="420"/>
    </row>
    <row r="116" spans="1:19" x14ac:dyDescent="0.25">
      <c r="K116" s="453"/>
      <c r="L116" s="454" t="s">
        <v>390</v>
      </c>
      <c r="M116" s="441" t="s">
        <v>389</v>
      </c>
      <c r="N116" s="433" t="s">
        <v>391</v>
      </c>
      <c r="P116" s="433"/>
    </row>
    <row r="117" spans="1:19" x14ac:dyDescent="0.25">
      <c r="A117" s="451"/>
      <c r="B117" s="450"/>
      <c r="C117" s="450"/>
      <c r="D117" s="450"/>
      <c r="E117" s="450"/>
      <c r="F117" s="450"/>
      <c r="G117" s="452"/>
      <c r="H117" s="450"/>
      <c r="I117" s="450"/>
      <c r="M117" s="441" t="s">
        <v>389</v>
      </c>
      <c r="N117" s="390" t="s">
        <v>392</v>
      </c>
      <c r="P117" s="433"/>
      <c r="S117" s="420"/>
    </row>
    <row r="118" spans="1:19" x14ac:dyDescent="0.25">
      <c r="M118" s="441" t="s">
        <v>389</v>
      </c>
      <c r="N118" s="390" t="s">
        <v>394</v>
      </c>
      <c r="P118" s="433"/>
    </row>
    <row r="119" spans="1:19" x14ac:dyDescent="0.25">
      <c r="J119" s="390"/>
    </row>
    <row r="120" spans="1:19" x14ac:dyDescent="0.25">
      <c r="J120" s="412" t="s">
        <v>397</v>
      </c>
      <c r="K120" s="457"/>
      <c r="L120" s="458" t="s">
        <v>398</v>
      </c>
      <c r="M120" s="406"/>
      <c r="N120" s="406"/>
      <c r="O120" s="455" t="s">
        <v>399</v>
      </c>
      <c r="P120" s="457"/>
      <c r="Q120" s="458" t="s">
        <v>400</v>
      </c>
      <c r="R120" s="406"/>
    </row>
    <row r="121" spans="1:19" x14ac:dyDescent="0.25">
      <c r="J121" s="412" t="s">
        <v>402</v>
      </c>
      <c r="K121" s="457"/>
      <c r="L121" s="458" t="s">
        <v>403</v>
      </c>
      <c r="M121" s="411">
        <f>K121/2.54</f>
        <v>0</v>
      </c>
      <c r="N121" s="406" t="s">
        <v>404</v>
      </c>
      <c r="O121" s="455" t="s">
        <v>399</v>
      </c>
      <c r="P121" s="456"/>
      <c r="Q121" s="406"/>
      <c r="R121" s="406"/>
    </row>
    <row r="122" spans="1:19" x14ac:dyDescent="0.25">
      <c r="J122" s="406"/>
      <c r="K122" s="413"/>
      <c r="L122" s="459"/>
      <c r="M122" s="459"/>
      <c r="N122" s="459"/>
      <c r="O122" s="414" t="s">
        <v>406</v>
      </c>
      <c r="P122" s="460"/>
      <c r="Q122" s="459" t="s">
        <v>387</v>
      </c>
      <c r="R122" s="415"/>
    </row>
    <row r="123" spans="1:19" x14ac:dyDescent="0.25">
      <c r="J123" s="406"/>
      <c r="K123" s="416"/>
      <c r="L123" s="461"/>
      <c r="M123" s="461"/>
      <c r="N123" s="461"/>
      <c r="O123" s="407" t="s">
        <v>408</v>
      </c>
      <c r="P123" s="462"/>
      <c r="Q123" s="461" t="s">
        <v>387</v>
      </c>
      <c r="R123" s="417"/>
    </row>
    <row r="137" spans="1:19" x14ac:dyDescent="0.25">
      <c r="A137" s="449"/>
      <c r="B137" s="449"/>
      <c r="C137" s="449"/>
      <c r="D137" s="449"/>
      <c r="E137" s="449"/>
      <c r="F137" s="449"/>
      <c r="G137" s="449"/>
      <c r="H137" s="449"/>
      <c r="I137" s="449"/>
      <c r="J137" s="449"/>
      <c r="K137" s="449"/>
      <c r="L137" s="449"/>
      <c r="M137" s="449"/>
      <c r="N137" s="449"/>
      <c r="O137" s="449"/>
      <c r="P137" s="449"/>
      <c r="Q137" s="449"/>
      <c r="R137" s="449"/>
      <c r="S137" s="449"/>
    </row>
    <row r="140" spans="1:19" x14ac:dyDescent="0.25">
      <c r="A140" s="451"/>
      <c r="B140" s="450"/>
      <c r="C140" s="450"/>
      <c r="D140" s="450"/>
      <c r="E140" s="450"/>
      <c r="F140" s="450"/>
      <c r="G140" s="452"/>
      <c r="H140" s="450"/>
      <c r="I140" s="450"/>
      <c r="J140" s="450"/>
      <c r="K140" s="450"/>
      <c r="L140" s="450"/>
      <c r="M140" s="450"/>
      <c r="N140" s="420"/>
      <c r="O140" s="420"/>
      <c r="P140" s="420"/>
      <c r="Q140" s="420"/>
      <c r="R140" s="420"/>
      <c r="S140" s="420"/>
    </row>
    <row r="141" spans="1:19" x14ac:dyDescent="0.25">
      <c r="A141" s="449"/>
      <c r="B141" s="449"/>
      <c r="C141" s="449"/>
      <c r="D141" s="449"/>
      <c r="E141" s="449"/>
      <c r="F141" s="449"/>
      <c r="G141" s="449"/>
      <c r="H141" s="449"/>
      <c r="I141" s="449"/>
      <c r="J141" s="449"/>
      <c r="K141" s="449"/>
      <c r="L141" s="449"/>
      <c r="M141" s="449"/>
      <c r="N141" s="449"/>
      <c r="O141" s="449"/>
      <c r="P141" s="449"/>
      <c r="Q141" s="449"/>
      <c r="R141" s="449"/>
      <c r="S141" s="449"/>
    </row>
    <row r="155" spans="1:19" x14ac:dyDescent="0.25">
      <c r="A155" s="451"/>
      <c r="B155" s="450"/>
      <c r="C155" s="450"/>
      <c r="D155" s="450"/>
      <c r="E155" s="450"/>
      <c r="F155" s="450"/>
      <c r="G155" s="452"/>
      <c r="H155" s="450"/>
      <c r="I155" s="450"/>
      <c r="J155" s="450"/>
      <c r="K155" s="450"/>
      <c r="L155" s="450"/>
      <c r="M155" s="450"/>
      <c r="N155" s="420"/>
      <c r="O155" s="420"/>
      <c r="P155" s="420"/>
      <c r="Q155" s="420"/>
      <c r="R155" s="420"/>
      <c r="S155" s="420"/>
    </row>
    <row r="159" spans="1:19" x14ac:dyDescent="0.25">
      <c r="A159" s="449"/>
      <c r="B159" s="449"/>
      <c r="C159" s="449"/>
      <c r="D159" s="449"/>
      <c r="E159" s="449"/>
      <c r="F159" s="449"/>
      <c r="G159" s="449"/>
      <c r="H159" s="449"/>
      <c r="I159" s="449"/>
      <c r="J159" s="449"/>
      <c r="K159" s="449"/>
      <c r="L159" s="449"/>
      <c r="M159" s="449"/>
      <c r="N159" s="449"/>
      <c r="O159" s="449"/>
      <c r="P159" s="449"/>
      <c r="Q159" s="449"/>
      <c r="R159" s="449"/>
      <c r="S159" s="449"/>
    </row>
    <row r="169" spans="1:19" x14ac:dyDescent="0.25">
      <c r="A169" s="451"/>
      <c r="B169" s="450"/>
      <c r="C169" s="450"/>
      <c r="D169" s="450"/>
      <c r="E169" s="450"/>
      <c r="F169" s="450"/>
      <c r="G169" s="452"/>
      <c r="H169" s="450"/>
      <c r="I169" s="450"/>
      <c r="J169" s="450"/>
      <c r="K169" s="450"/>
      <c r="L169" s="450"/>
      <c r="M169" s="450"/>
      <c r="N169" s="420"/>
      <c r="O169" s="420"/>
      <c r="P169" s="420"/>
      <c r="Q169" s="420"/>
      <c r="R169" s="420"/>
      <c r="S169" s="420"/>
    </row>
    <row r="172" spans="1:19" x14ac:dyDescent="0.25">
      <c r="A172" s="451"/>
      <c r="B172" s="450"/>
      <c r="C172" s="450"/>
      <c r="D172" s="450"/>
      <c r="E172" s="450"/>
      <c r="F172" s="450"/>
      <c r="G172" s="452"/>
      <c r="H172" s="450"/>
      <c r="I172" s="450"/>
      <c r="J172" s="450"/>
      <c r="K172" s="450"/>
      <c r="L172" s="450"/>
      <c r="M172" s="450"/>
      <c r="N172" s="420"/>
      <c r="O172" s="420"/>
      <c r="P172" s="420"/>
      <c r="Q172" s="420"/>
      <c r="R172" s="420"/>
      <c r="S172" s="420"/>
    </row>
    <row r="186" spans="1:19" x14ac:dyDescent="0.25">
      <c r="A186" s="451"/>
      <c r="B186" s="450"/>
      <c r="C186" s="450"/>
      <c r="D186" s="450"/>
      <c r="E186" s="450"/>
      <c r="F186" s="450"/>
      <c r="G186" s="452"/>
      <c r="H186" s="450"/>
      <c r="I186" s="450"/>
      <c r="J186" s="450"/>
      <c r="K186" s="450"/>
      <c r="L186" s="450"/>
      <c r="M186" s="450"/>
      <c r="N186" s="420"/>
      <c r="O186" s="420"/>
      <c r="P186" s="420"/>
      <c r="Q186" s="420"/>
      <c r="R186" s="420"/>
      <c r="S186" s="420"/>
    </row>
    <row r="227" spans="1:19" x14ac:dyDescent="0.25">
      <c r="A227" s="449"/>
      <c r="B227" s="449"/>
      <c r="C227" s="449"/>
      <c r="D227" s="449"/>
      <c r="E227" s="449"/>
      <c r="F227" s="449"/>
      <c r="G227" s="449"/>
      <c r="H227" s="449"/>
      <c r="I227" s="449"/>
      <c r="J227" s="449"/>
      <c r="K227" s="449"/>
      <c r="L227" s="449"/>
      <c r="M227" s="449"/>
      <c r="N227" s="449"/>
      <c r="O227" s="449"/>
      <c r="P227" s="449"/>
      <c r="Q227" s="449"/>
      <c r="R227" s="449"/>
      <c r="S227" s="449"/>
    </row>
    <row r="228" spans="1:19" x14ac:dyDescent="0.25">
      <c r="A228" s="451"/>
      <c r="B228" s="450"/>
      <c r="C228" s="450"/>
      <c r="D228" s="450"/>
      <c r="E228" s="450"/>
      <c r="F228" s="450"/>
      <c r="G228" s="452"/>
      <c r="H228" s="450"/>
      <c r="I228" s="450"/>
      <c r="J228" s="450"/>
      <c r="K228" s="450"/>
      <c r="L228" s="450"/>
      <c r="M228" s="450"/>
      <c r="N228" s="420"/>
      <c r="O228" s="420"/>
      <c r="P228" s="420"/>
      <c r="Q228" s="420"/>
      <c r="R228" s="420"/>
      <c r="S228" s="420"/>
    </row>
    <row r="265" spans="1:19" x14ac:dyDescent="0.25">
      <c r="A265" s="449"/>
      <c r="B265" s="449"/>
      <c r="C265" s="449"/>
      <c r="D265" s="449"/>
      <c r="E265" s="449"/>
      <c r="F265" s="449"/>
      <c r="G265" s="449"/>
      <c r="H265" s="449"/>
      <c r="I265" s="449"/>
      <c r="J265" s="449"/>
      <c r="K265" s="449"/>
      <c r="L265" s="449"/>
      <c r="M265" s="449"/>
      <c r="N265" s="449"/>
      <c r="O265" s="449"/>
      <c r="P265" s="449"/>
      <c r="Q265" s="449"/>
      <c r="R265" s="449"/>
      <c r="S265" s="449"/>
    </row>
    <row r="282" spans="1:19" x14ac:dyDescent="0.25">
      <c r="A282" s="449"/>
      <c r="B282" s="449"/>
      <c r="C282" s="449"/>
      <c r="D282" s="449"/>
      <c r="E282" s="449"/>
      <c r="F282" s="449"/>
      <c r="G282" s="449"/>
      <c r="H282" s="449"/>
      <c r="I282" s="449"/>
      <c r="J282" s="449"/>
      <c r="K282" s="449"/>
      <c r="L282" s="449"/>
      <c r="M282" s="449"/>
      <c r="N282" s="449"/>
      <c r="O282" s="449"/>
      <c r="P282" s="449"/>
      <c r="Q282" s="449"/>
      <c r="R282" s="449"/>
      <c r="S282" s="449"/>
    </row>
    <row r="284" spans="1:19" x14ac:dyDescent="0.25">
      <c r="A284" s="449"/>
      <c r="B284" s="449"/>
      <c r="C284" s="449"/>
      <c r="D284" s="449"/>
      <c r="E284" s="449"/>
      <c r="F284" s="449"/>
      <c r="G284" s="449"/>
      <c r="H284" s="449"/>
      <c r="I284" s="449"/>
      <c r="J284" s="449"/>
      <c r="K284" s="449"/>
      <c r="L284" s="449"/>
      <c r="M284" s="449"/>
      <c r="N284" s="449"/>
      <c r="O284" s="449"/>
      <c r="P284" s="449"/>
      <c r="Q284" s="449"/>
      <c r="R284" s="449"/>
      <c r="S284" s="449"/>
    </row>
    <row r="285" spans="1:19" x14ac:dyDescent="0.25">
      <c r="A285" s="449"/>
      <c r="B285" s="449"/>
      <c r="C285" s="449"/>
      <c r="D285" s="449"/>
      <c r="E285" s="449"/>
      <c r="F285" s="449"/>
      <c r="G285" s="449"/>
      <c r="H285" s="449"/>
      <c r="I285" s="449"/>
      <c r="J285" s="449"/>
      <c r="K285" s="449"/>
      <c r="L285" s="449"/>
      <c r="M285" s="449"/>
      <c r="N285" s="449"/>
      <c r="O285" s="449"/>
      <c r="P285" s="449"/>
      <c r="Q285" s="449"/>
      <c r="R285" s="449"/>
      <c r="S285" s="449"/>
    </row>
    <row r="288" spans="1:19" x14ac:dyDescent="0.25">
      <c r="A288" s="451"/>
      <c r="B288" s="450"/>
      <c r="C288" s="450"/>
      <c r="D288" s="450"/>
      <c r="E288" s="450"/>
      <c r="F288" s="450"/>
      <c r="G288" s="452"/>
      <c r="H288" s="450"/>
      <c r="I288" s="450"/>
      <c r="J288" s="450"/>
      <c r="K288" s="450"/>
      <c r="L288" s="450"/>
      <c r="M288" s="450"/>
      <c r="N288" s="420"/>
      <c r="O288" s="420"/>
      <c r="P288" s="420"/>
      <c r="Q288" s="420"/>
      <c r="R288" s="420"/>
      <c r="S288" s="420"/>
    </row>
    <row r="296" spans="1:19" x14ac:dyDescent="0.25">
      <c r="A296" s="449"/>
      <c r="B296" s="449"/>
      <c r="C296" s="449"/>
      <c r="D296" s="449"/>
      <c r="E296" s="449"/>
      <c r="F296" s="449"/>
      <c r="G296" s="449"/>
      <c r="H296" s="449"/>
      <c r="I296" s="449"/>
      <c r="J296" s="449"/>
      <c r="K296" s="449"/>
      <c r="L296" s="449"/>
      <c r="M296" s="449"/>
      <c r="N296" s="449"/>
      <c r="O296" s="449"/>
      <c r="P296" s="449"/>
      <c r="Q296" s="449"/>
      <c r="R296" s="449"/>
      <c r="S296" s="449"/>
    </row>
    <row r="300" spans="1:19" x14ac:dyDescent="0.25">
      <c r="A300" s="451"/>
      <c r="B300" s="450"/>
      <c r="C300" s="450"/>
      <c r="D300" s="450"/>
      <c r="E300" s="450"/>
      <c r="F300" s="450"/>
      <c r="G300" s="452"/>
      <c r="H300" s="450"/>
      <c r="I300" s="450"/>
      <c r="J300" s="450"/>
      <c r="K300" s="450"/>
      <c r="L300" s="450"/>
      <c r="M300" s="450"/>
      <c r="N300" s="420"/>
      <c r="O300" s="420"/>
      <c r="P300" s="420"/>
      <c r="Q300" s="420"/>
      <c r="R300" s="420"/>
      <c r="S300" s="420"/>
    </row>
    <row r="308" spans="1:19" x14ac:dyDescent="0.25">
      <c r="A308" s="449"/>
      <c r="B308" s="449"/>
      <c r="C308" s="449"/>
      <c r="D308" s="449"/>
      <c r="E308" s="449"/>
      <c r="F308" s="449"/>
      <c r="G308" s="449"/>
      <c r="H308" s="449"/>
      <c r="I308" s="449"/>
      <c r="J308" s="449"/>
      <c r="K308" s="449"/>
      <c r="L308" s="449"/>
      <c r="M308" s="449"/>
      <c r="N308" s="449"/>
      <c r="O308" s="449"/>
      <c r="P308" s="449"/>
      <c r="Q308" s="449"/>
      <c r="R308" s="449"/>
      <c r="S308" s="449"/>
    </row>
    <row r="312" spans="1:19" x14ac:dyDescent="0.25">
      <c r="A312" s="449"/>
      <c r="B312" s="449"/>
      <c r="C312" s="449"/>
      <c r="D312" s="449"/>
      <c r="E312" s="449"/>
      <c r="F312" s="449"/>
      <c r="G312" s="449"/>
      <c r="H312" s="449"/>
      <c r="I312" s="449"/>
      <c r="J312" s="449"/>
      <c r="K312" s="449"/>
      <c r="L312" s="449"/>
      <c r="M312" s="449"/>
      <c r="N312" s="449"/>
      <c r="O312" s="449"/>
      <c r="P312" s="449"/>
      <c r="Q312" s="449"/>
      <c r="R312" s="449"/>
      <c r="S312" s="449"/>
    </row>
    <row r="314" spans="1:19" x14ac:dyDescent="0.25">
      <c r="A314" s="451"/>
      <c r="B314" s="450"/>
      <c r="C314" s="450"/>
      <c r="D314" s="450"/>
      <c r="E314" s="450"/>
      <c r="F314" s="450"/>
      <c r="G314" s="452"/>
      <c r="H314" s="450"/>
      <c r="I314" s="450"/>
      <c r="J314" s="450"/>
      <c r="K314" s="450"/>
      <c r="L314" s="450"/>
      <c r="M314" s="450"/>
      <c r="N314" s="420"/>
      <c r="O314" s="420"/>
      <c r="P314" s="420"/>
      <c r="Q314" s="420"/>
      <c r="R314" s="420"/>
      <c r="S314" s="420"/>
    </row>
    <row r="316" spans="1:19" x14ac:dyDescent="0.25">
      <c r="A316" s="449"/>
      <c r="B316" s="449"/>
      <c r="C316" s="449"/>
      <c r="D316" s="449"/>
      <c r="E316" s="449"/>
      <c r="F316" s="449"/>
      <c r="G316" s="449"/>
      <c r="H316" s="449"/>
      <c r="I316" s="449"/>
      <c r="J316" s="449"/>
      <c r="K316" s="449"/>
      <c r="L316" s="449"/>
      <c r="M316" s="449"/>
      <c r="N316" s="449"/>
      <c r="O316" s="449"/>
      <c r="P316" s="449"/>
      <c r="Q316" s="449"/>
      <c r="R316" s="449"/>
      <c r="S316" s="449"/>
    </row>
    <row r="325" spans="1:19" x14ac:dyDescent="0.25">
      <c r="A325" s="449"/>
      <c r="B325" s="449"/>
      <c r="C325" s="449"/>
      <c r="D325" s="449"/>
      <c r="E325" s="449"/>
      <c r="F325" s="449"/>
      <c r="G325" s="449"/>
      <c r="H325" s="449"/>
      <c r="I325" s="449"/>
      <c r="J325" s="449"/>
      <c r="K325" s="449"/>
      <c r="L325" s="449"/>
      <c r="M325" s="449"/>
      <c r="N325" s="449"/>
      <c r="O325" s="449"/>
      <c r="P325" s="449"/>
      <c r="Q325" s="449"/>
      <c r="R325" s="449"/>
      <c r="S325" s="449"/>
    </row>
    <row r="329" spans="1:19" x14ac:dyDescent="0.25">
      <c r="A329" s="451"/>
      <c r="B329" s="450"/>
      <c r="C329" s="450"/>
      <c r="D329" s="450"/>
      <c r="E329" s="450"/>
      <c r="F329" s="450"/>
      <c r="G329" s="452"/>
      <c r="H329" s="450"/>
      <c r="I329" s="450"/>
      <c r="J329" s="450"/>
      <c r="K329" s="450"/>
      <c r="L329" s="450"/>
      <c r="M329" s="450"/>
      <c r="N329" s="420"/>
      <c r="O329" s="420"/>
      <c r="P329" s="420"/>
      <c r="Q329" s="420"/>
      <c r="R329" s="420"/>
      <c r="S329" s="420"/>
    </row>
    <row r="356" spans="1:19" x14ac:dyDescent="0.25">
      <c r="A356" s="449"/>
      <c r="B356" s="449"/>
      <c r="C356" s="449"/>
      <c r="D356" s="449"/>
      <c r="E356" s="449"/>
      <c r="F356" s="449"/>
      <c r="G356" s="449"/>
      <c r="H356" s="449"/>
      <c r="I356" s="449"/>
      <c r="J356" s="449"/>
      <c r="K356" s="449"/>
      <c r="L356" s="449"/>
      <c r="M356" s="449"/>
      <c r="N356" s="449"/>
      <c r="O356" s="449"/>
      <c r="P356" s="449"/>
      <c r="Q356" s="449"/>
      <c r="R356" s="449"/>
      <c r="S356" s="449"/>
    </row>
    <row r="358" spans="1:19" x14ac:dyDescent="0.25">
      <c r="A358" s="449"/>
      <c r="B358" s="449"/>
      <c r="C358" s="449"/>
      <c r="D358" s="449"/>
      <c r="E358" s="449"/>
      <c r="F358" s="449"/>
      <c r="G358" s="449"/>
      <c r="H358" s="449"/>
      <c r="I358" s="449"/>
      <c r="J358" s="449"/>
      <c r="K358" s="449"/>
      <c r="L358" s="449"/>
      <c r="M358" s="449"/>
      <c r="N358" s="449"/>
      <c r="O358" s="449"/>
      <c r="P358" s="449"/>
      <c r="Q358" s="449"/>
      <c r="R358" s="449"/>
      <c r="S358" s="449"/>
    </row>
    <row r="401" spans="1:19" x14ac:dyDescent="0.25">
      <c r="A401" s="449"/>
      <c r="B401" s="449"/>
      <c r="C401" s="449"/>
      <c r="D401" s="449"/>
      <c r="E401" s="449"/>
      <c r="F401" s="449"/>
      <c r="G401" s="449"/>
      <c r="H401" s="449"/>
      <c r="I401" s="449"/>
      <c r="J401" s="449"/>
      <c r="K401" s="449"/>
      <c r="L401" s="449"/>
      <c r="M401" s="449"/>
      <c r="N401" s="449"/>
      <c r="O401" s="449"/>
      <c r="P401" s="449"/>
      <c r="Q401" s="449"/>
      <c r="R401" s="449"/>
      <c r="S401" s="449"/>
    </row>
    <row r="402" spans="1:19" x14ac:dyDescent="0.25">
      <c r="A402" s="449"/>
      <c r="B402" s="449"/>
      <c r="C402" s="449"/>
      <c r="D402" s="449"/>
      <c r="E402" s="449"/>
      <c r="F402" s="449"/>
      <c r="G402" s="449"/>
      <c r="H402" s="449"/>
      <c r="I402" s="449"/>
      <c r="J402" s="449"/>
      <c r="K402" s="449"/>
      <c r="L402" s="449"/>
      <c r="M402" s="449"/>
      <c r="N402" s="449"/>
      <c r="O402" s="449"/>
      <c r="P402" s="449"/>
      <c r="Q402" s="449"/>
      <c r="R402" s="449"/>
      <c r="S402" s="449"/>
    </row>
    <row r="403" spans="1:19" x14ac:dyDescent="0.25">
      <c r="A403" s="449"/>
      <c r="B403" s="449"/>
      <c r="C403" s="449"/>
      <c r="D403" s="449"/>
      <c r="E403" s="449"/>
      <c r="F403" s="449"/>
      <c r="G403" s="449"/>
      <c r="H403" s="449"/>
      <c r="I403" s="449"/>
      <c r="J403" s="449"/>
      <c r="K403" s="449"/>
      <c r="L403" s="449"/>
      <c r="M403" s="449"/>
      <c r="N403" s="449"/>
      <c r="O403" s="449"/>
      <c r="P403" s="449"/>
      <c r="Q403" s="449"/>
      <c r="R403" s="449"/>
      <c r="S403" s="449"/>
    </row>
    <row r="411" spans="1:19" x14ac:dyDescent="0.25">
      <c r="A411" s="449"/>
      <c r="B411" s="449"/>
      <c r="C411" s="449"/>
      <c r="D411" s="449"/>
      <c r="E411" s="449"/>
      <c r="F411" s="449"/>
      <c r="G411" s="449"/>
      <c r="H411" s="449"/>
      <c r="I411" s="449"/>
      <c r="J411" s="449"/>
      <c r="K411" s="449"/>
      <c r="L411" s="449"/>
      <c r="M411" s="449"/>
      <c r="N411" s="449"/>
      <c r="O411" s="449"/>
      <c r="P411" s="449"/>
      <c r="Q411" s="449"/>
      <c r="R411" s="449"/>
      <c r="S411" s="449"/>
    </row>
    <row r="432" spans="1:19" x14ac:dyDescent="0.25">
      <c r="A432" s="449"/>
      <c r="B432" s="449"/>
      <c r="C432" s="449"/>
      <c r="D432" s="449"/>
      <c r="E432" s="449"/>
      <c r="F432" s="449"/>
      <c r="G432" s="449"/>
      <c r="H432" s="449"/>
      <c r="I432" s="449"/>
      <c r="J432" s="449"/>
      <c r="K432" s="449"/>
      <c r="L432" s="449"/>
      <c r="M432" s="449"/>
      <c r="N432" s="449"/>
      <c r="O432" s="449"/>
      <c r="P432" s="449"/>
      <c r="Q432" s="449"/>
      <c r="R432" s="449"/>
      <c r="S432" s="449"/>
    </row>
    <row r="442" spans="1:19" x14ac:dyDescent="0.25">
      <c r="A442" s="449"/>
      <c r="B442" s="449"/>
      <c r="C442" s="449"/>
      <c r="D442" s="449"/>
      <c r="E442" s="449"/>
      <c r="F442" s="449"/>
      <c r="G442" s="449"/>
      <c r="H442" s="449"/>
      <c r="I442" s="449"/>
      <c r="J442" s="449"/>
      <c r="K442" s="449"/>
      <c r="L442" s="449"/>
      <c r="M442" s="449"/>
      <c r="N442" s="449"/>
      <c r="O442" s="449"/>
      <c r="P442" s="449"/>
      <c r="Q442" s="449"/>
      <c r="R442" s="449"/>
      <c r="S442" s="449"/>
    </row>
    <row r="444" spans="1:19" x14ac:dyDescent="0.25">
      <c r="A444" s="449"/>
      <c r="B444" s="449"/>
      <c r="C444" s="449"/>
      <c r="D444" s="449"/>
      <c r="E444" s="449"/>
      <c r="F444" s="449"/>
      <c r="G444" s="449"/>
      <c r="H444" s="449"/>
      <c r="I444" s="449"/>
      <c r="J444" s="449"/>
      <c r="K444" s="449"/>
      <c r="L444" s="449"/>
      <c r="M444" s="449"/>
      <c r="N444" s="449"/>
      <c r="O444" s="449"/>
      <c r="P444" s="449"/>
      <c r="Q444" s="449"/>
      <c r="R444" s="449"/>
      <c r="S444" s="449"/>
    </row>
    <row r="445" spans="1:19" x14ac:dyDescent="0.25">
      <c r="A445" s="449"/>
      <c r="B445" s="449"/>
      <c r="C445" s="449"/>
      <c r="D445" s="449"/>
      <c r="E445" s="449"/>
      <c r="F445" s="449"/>
      <c r="G445" s="449"/>
      <c r="H445" s="449"/>
      <c r="I445" s="449"/>
      <c r="J445" s="449"/>
      <c r="K445" s="449"/>
      <c r="L445" s="449"/>
      <c r="M445" s="449"/>
      <c r="N445" s="449"/>
      <c r="O445" s="449"/>
      <c r="P445" s="449"/>
      <c r="Q445" s="449"/>
      <c r="R445" s="449"/>
      <c r="S445" s="449"/>
    </row>
    <row r="446" spans="1:19" x14ac:dyDescent="0.25">
      <c r="A446" s="449"/>
      <c r="B446" s="449"/>
      <c r="C446" s="449"/>
      <c r="D446" s="449"/>
      <c r="E446" s="449"/>
      <c r="F446" s="449"/>
      <c r="G446" s="449"/>
      <c r="H446" s="449"/>
      <c r="I446" s="449"/>
      <c r="J446" s="449"/>
      <c r="K446" s="449"/>
      <c r="L446" s="449"/>
      <c r="M446" s="449"/>
      <c r="N446" s="449"/>
      <c r="O446" s="449"/>
      <c r="P446" s="449"/>
      <c r="Q446" s="449"/>
      <c r="R446" s="449"/>
      <c r="S446" s="449"/>
    </row>
    <row r="447" spans="1:19" x14ac:dyDescent="0.25">
      <c r="A447" s="449"/>
      <c r="B447" s="449"/>
      <c r="C447" s="449"/>
      <c r="D447" s="449"/>
      <c r="E447" s="449"/>
      <c r="F447" s="449"/>
      <c r="G447" s="449"/>
      <c r="H447" s="449"/>
      <c r="I447" s="449"/>
      <c r="J447" s="449"/>
      <c r="K447" s="449"/>
      <c r="L447" s="449"/>
      <c r="M447" s="449"/>
      <c r="N447" s="449"/>
      <c r="O447" s="449"/>
      <c r="P447" s="449"/>
      <c r="Q447" s="449"/>
      <c r="R447" s="449"/>
      <c r="S447" s="449"/>
    </row>
    <row r="448" spans="1:19" x14ac:dyDescent="0.25">
      <c r="A448" s="449"/>
      <c r="B448" s="449"/>
      <c r="C448" s="449"/>
      <c r="D448" s="449"/>
      <c r="E448" s="449"/>
      <c r="F448" s="449"/>
      <c r="G448" s="449"/>
      <c r="H448" s="449"/>
      <c r="I448" s="449"/>
      <c r="J448" s="449"/>
      <c r="K448" s="449"/>
      <c r="L448" s="449"/>
      <c r="M448" s="449"/>
      <c r="N448" s="449"/>
      <c r="O448" s="449"/>
      <c r="P448" s="449"/>
      <c r="Q448" s="449"/>
      <c r="R448" s="449"/>
      <c r="S448" s="449"/>
    </row>
    <row r="449" spans="1:19" x14ac:dyDescent="0.25">
      <c r="A449" s="449"/>
      <c r="B449" s="449"/>
      <c r="C449" s="449"/>
      <c r="D449" s="449"/>
      <c r="E449" s="449"/>
      <c r="F449" s="449"/>
      <c r="G449" s="449"/>
      <c r="H449" s="449"/>
      <c r="I449" s="449"/>
      <c r="J449" s="449"/>
      <c r="K449" s="449"/>
      <c r="L449" s="449"/>
      <c r="M449" s="449"/>
      <c r="N449" s="449"/>
      <c r="O449" s="449"/>
      <c r="P449" s="449"/>
      <c r="Q449" s="449"/>
      <c r="R449" s="449"/>
      <c r="S449" s="449"/>
    </row>
    <row r="450" spans="1:19" x14ac:dyDescent="0.25">
      <c r="A450" s="449"/>
      <c r="B450" s="449"/>
      <c r="C450" s="449"/>
      <c r="D450" s="449"/>
      <c r="E450" s="449"/>
      <c r="F450" s="449"/>
      <c r="G450" s="449"/>
      <c r="H450" s="449"/>
      <c r="I450" s="449"/>
      <c r="J450" s="449"/>
      <c r="K450" s="449"/>
      <c r="L450" s="449"/>
      <c r="M450" s="449"/>
      <c r="N450" s="449"/>
      <c r="O450" s="449"/>
      <c r="P450" s="449"/>
      <c r="Q450" s="449"/>
      <c r="R450" s="449"/>
      <c r="S450" s="449"/>
    </row>
    <row r="452" spans="1:19" ht="15.6" x14ac:dyDescent="0.3">
      <c r="A452" s="391"/>
      <c r="K452" s="402"/>
    </row>
    <row r="453" spans="1:19" x14ac:dyDescent="0.25">
      <c r="A453" s="391"/>
    </row>
    <row r="454" spans="1:19" x14ac:dyDescent="0.25">
      <c r="A454" s="391"/>
    </row>
    <row r="455" spans="1:19" x14ac:dyDescent="0.25">
      <c r="A455" s="449"/>
      <c r="B455" s="449"/>
      <c r="C455" s="449"/>
      <c r="D455" s="449"/>
      <c r="E455" s="449"/>
      <c r="F455" s="449"/>
      <c r="G455" s="449"/>
      <c r="H455" s="449"/>
      <c r="I455" s="449"/>
      <c r="J455" s="449"/>
      <c r="K455" s="449"/>
      <c r="L455" s="449"/>
      <c r="M455" s="449"/>
      <c r="N455" s="449"/>
      <c r="O455" s="449"/>
      <c r="P455" s="449"/>
      <c r="Q455" s="449"/>
      <c r="R455" s="449"/>
      <c r="S455" s="449"/>
    </row>
    <row r="462" spans="1:19" x14ac:dyDescent="0.25">
      <c r="A462" s="449"/>
      <c r="B462" s="449"/>
      <c r="C462" s="449"/>
      <c r="D462" s="449"/>
      <c r="E462" s="449"/>
      <c r="F462" s="449"/>
      <c r="G462" s="449"/>
      <c r="H462" s="449"/>
      <c r="I462" s="449"/>
      <c r="J462" s="449"/>
      <c r="K462" s="449"/>
      <c r="L462" s="449"/>
      <c r="M462" s="449"/>
      <c r="N462" s="449"/>
      <c r="O462" s="449"/>
      <c r="P462" s="449"/>
      <c r="Q462" s="449"/>
      <c r="R462" s="449"/>
      <c r="S462" s="449"/>
    </row>
    <row r="466" spans="1:19" x14ac:dyDescent="0.25">
      <c r="A466" s="449"/>
      <c r="B466" s="449"/>
      <c r="C466" s="449"/>
      <c r="D466" s="449"/>
      <c r="E466" s="449"/>
      <c r="F466" s="449"/>
      <c r="G466" s="449"/>
      <c r="H466" s="449"/>
      <c r="I466" s="449"/>
      <c r="J466" s="449"/>
      <c r="K466" s="449"/>
      <c r="L466" s="449"/>
      <c r="M466" s="449"/>
      <c r="N466" s="449"/>
      <c r="O466" s="449"/>
      <c r="P466" s="449"/>
      <c r="Q466" s="449"/>
      <c r="R466" s="449"/>
      <c r="S466" s="449"/>
    </row>
    <row r="467" spans="1:19" x14ac:dyDescent="0.25">
      <c r="A467" s="449"/>
      <c r="B467" s="449"/>
      <c r="C467" s="449"/>
      <c r="D467" s="449"/>
      <c r="E467" s="449"/>
      <c r="F467" s="449"/>
      <c r="G467" s="449"/>
      <c r="H467" s="449"/>
      <c r="I467" s="449"/>
      <c r="J467" s="449"/>
      <c r="K467" s="449"/>
      <c r="L467" s="449"/>
      <c r="M467" s="449"/>
      <c r="N467" s="449"/>
      <c r="O467" s="449"/>
      <c r="P467" s="449"/>
      <c r="Q467" s="449"/>
      <c r="R467" s="449"/>
      <c r="S467" s="449"/>
    </row>
    <row r="470" spans="1:19" x14ac:dyDescent="0.25">
      <c r="A470" s="449"/>
      <c r="B470" s="449"/>
      <c r="C470" s="449"/>
      <c r="D470" s="449"/>
      <c r="E470" s="449"/>
      <c r="F470" s="449"/>
      <c r="G470" s="449"/>
      <c r="H470" s="449"/>
      <c r="I470" s="449"/>
      <c r="J470" s="449"/>
      <c r="K470" s="449"/>
      <c r="L470" s="449"/>
      <c r="M470" s="449"/>
      <c r="N470" s="449"/>
      <c r="O470" s="449"/>
      <c r="P470" s="449"/>
      <c r="Q470" s="449"/>
      <c r="R470" s="449"/>
      <c r="S470" s="449"/>
    </row>
    <row r="471" spans="1:19" x14ac:dyDescent="0.25">
      <c r="A471" s="449"/>
      <c r="B471" s="449"/>
      <c r="C471" s="449"/>
      <c r="D471" s="449"/>
      <c r="E471" s="449"/>
      <c r="F471" s="449"/>
      <c r="G471" s="449"/>
      <c r="H471" s="449"/>
      <c r="I471" s="449"/>
      <c r="J471" s="449"/>
      <c r="K471" s="449"/>
      <c r="L471" s="449"/>
      <c r="M471" s="449"/>
      <c r="N471" s="449"/>
      <c r="O471" s="449"/>
      <c r="P471" s="449"/>
      <c r="Q471" s="449"/>
      <c r="R471" s="449"/>
      <c r="S471" s="449"/>
    </row>
    <row r="472" spans="1:19" x14ac:dyDescent="0.25">
      <c r="A472" s="449"/>
      <c r="B472" s="449"/>
      <c r="C472" s="449"/>
      <c r="D472" s="449"/>
      <c r="E472" s="449"/>
      <c r="F472" s="449"/>
      <c r="G472" s="449"/>
      <c r="H472" s="449"/>
      <c r="I472" s="449"/>
      <c r="J472" s="449"/>
      <c r="K472" s="449"/>
      <c r="L472" s="449"/>
      <c r="M472" s="449"/>
      <c r="N472" s="449"/>
      <c r="O472" s="449"/>
      <c r="P472" s="449"/>
      <c r="Q472" s="449"/>
      <c r="R472" s="449"/>
      <c r="S472" s="449"/>
    </row>
    <row r="473" spans="1:19" x14ac:dyDescent="0.25">
      <c r="A473" s="451"/>
      <c r="B473" s="450"/>
      <c r="C473" s="450"/>
      <c r="D473" s="450"/>
      <c r="E473" s="450"/>
      <c r="F473" s="450"/>
      <c r="G473" s="452"/>
      <c r="H473" s="450"/>
      <c r="I473" s="450"/>
      <c r="J473" s="450"/>
      <c r="K473" s="450"/>
      <c r="L473" s="450"/>
      <c r="M473" s="450"/>
      <c r="N473" s="420"/>
      <c r="O473" s="420"/>
      <c r="P473" s="420"/>
      <c r="Q473" s="420"/>
      <c r="R473" s="420"/>
      <c r="S473" s="420"/>
    </row>
    <row r="474" spans="1:19" x14ac:dyDescent="0.25">
      <c r="A474" s="449"/>
      <c r="B474" s="449"/>
      <c r="C474" s="449"/>
      <c r="D474" s="449"/>
      <c r="E474" s="449"/>
      <c r="F474" s="449"/>
      <c r="G474" s="449"/>
      <c r="H474" s="449"/>
      <c r="I474" s="449"/>
      <c r="J474" s="449"/>
      <c r="K474" s="449"/>
      <c r="L474" s="449"/>
      <c r="M474" s="449"/>
      <c r="N474" s="449"/>
      <c r="O474" s="449"/>
      <c r="P474" s="449"/>
      <c r="Q474" s="449"/>
      <c r="R474" s="449"/>
      <c r="S474" s="449"/>
    </row>
    <row r="476" spans="1:19" x14ac:dyDescent="0.25">
      <c r="A476" s="451"/>
      <c r="B476" s="450"/>
      <c r="C476" s="450"/>
      <c r="D476" s="450"/>
      <c r="E476" s="450"/>
      <c r="F476" s="450"/>
      <c r="G476" s="452"/>
      <c r="H476" s="450"/>
      <c r="I476" s="450"/>
      <c r="J476" s="450"/>
      <c r="K476" s="450"/>
      <c r="L476" s="450"/>
      <c r="M476" s="450"/>
      <c r="N476" s="420"/>
      <c r="O476" s="420"/>
      <c r="P476" s="420"/>
      <c r="Q476" s="420"/>
      <c r="R476" s="420"/>
      <c r="S476" s="420"/>
    </row>
    <row r="486" spans="1:19" x14ac:dyDescent="0.25">
      <c r="A486" s="449"/>
      <c r="B486" s="449"/>
      <c r="C486" s="449"/>
      <c r="D486" s="449"/>
      <c r="E486" s="449"/>
      <c r="F486" s="449"/>
      <c r="G486" s="449"/>
      <c r="H486" s="449"/>
      <c r="I486" s="449"/>
      <c r="J486" s="449"/>
      <c r="K486" s="449"/>
      <c r="L486" s="449"/>
      <c r="M486" s="449"/>
      <c r="N486" s="449"/>
      <c r="O486" s="449"/>
      <c r="P486" s="449"/>
      <c r="Q486" s="449"/>
      <c r="R486" s="449"/>
      <c r="S486" s="449"/>
    </row>
    <row r="496" spans="1:19" x14ac:dyDescent="0.25">
      <c r="A496" s="449"/>
      <c r="B496" s="449"/>
      <c r="C496" s="449"/>
      <c r="D496" s="449"/>
      <c r="E496" s="449"/>
      <c r="F496" s="449"/>
      <c r="G496" s="449"/>
      <c r="H496" s="449"/>
      <c r="I496" s="449"/>
      <c r="J496" s="449"/>
      <c r="K496" s="449"/>
      <c r="L496" s="449"/>
      <c r="M496" s="449"/>
      <c r="N496" s="449"/>
      <c r="O496" s="449"/>
      <c r="P496" s="449"/>
      <c r="Q496" s="449"/>
      <c r="R496" s="449"/>
      <c r="S496" s="449"/>
    </row>
    <row r="506" s="391" customFormat="1" x14ac:dyDescent="0.25"/>
    <row r="507" s="391" customFormat="1" x14ac:dyDescent="0.25"/>
    <row r="508" s="391" customFormat="1" x14ac:dyDescent="0.25"/>
    <row r="509" s="391" customFormat="1" x14ac:dyDescent="0.25"/>
    <row r="510" s="391" customFormat="1" x14ac:dyDescent="0.25"/>
    <row r="511" s="391" customFormat="1" x14ac:dyDescent="0.25"/>
    <row r="512" s="391" customFormat="1" x14ac:dyDescent="0.25"/>
    <row r="513" spans="1:19" x14ac:dyDescent="0.25">
      <c r="A513" s="391"/>
      <c r="G513" s="391"/>
    </row>
    <row r="515" spans="1:19" x14ac:dyDescent="0.25">
      <c r="A515" s="449"/>
      <c r="B515" s="449"/>
      <c r="C515" s="449"/>
      <c r="D515" s="449"/>
      <c r="E515" s="449"/>
      <c r="F515" s="449"/>
      <c r="G515" s="449"/>
      <c r="H515" s="449"/>
      <c r="I515" s="449"/>
      <c r="J515" s="449"/>
      <c r="K515" s="449"/>
      <c r="L515" s="449"/>
      <c r="M515" s="449"/>
      <c r="N515" s="449"/>
      <c r="O515" s="449"/>
      <c r="P515" s="449"/>
      <c r="Q515" s="449"/>
      <c r="R515" s="449"/>
      <c r="S515" s="449"/>
    </row>
    <row r="516" spans="1:19" x14ac:dyDescent="0.25">
      <c r="A516" s="449"/>
      <c r="B516" s="449"/>
      <c r="C516" s="449"/>
      <c r="D516" s="449"/>
      <c r="E516" s="449"/>
      <c r="F516" s="449"/>
      <c r="G516" s="449"/>
      <c r="H516" s="449"/>
      <c r="I516" s="449"/>
      <c r="J516" s="449"/>
      <c r="K516" s="449"/>
      <c r="L516" s="449"/>
      <c r="M516" s="449"/>
      <c r="N516" s="449"/>
      <c r="O516" s="449"/>
      <c r="P516" s="449"/>
      <c r="Q516" s="449"/>
      <c r="R516" s="449"/>
      <c r="S516" s="449"/>
    </row>
    <row r="517" spans="1:19" x14ac:dyDescent="0.25">
      <c r="A517" s="449"/>
      <c r="B517" s="449"/>
      <c r="C517" s="449"/>
      <c r="D517" s="449"/>
      <c r="E517" s="449"/>
      <c r="F517" s="449"/>
      <c r="G517" s="449"/>
      <c r="H517" s="449"/>
      <c r="I517" s="449"/>
      <c r="J517" s="449"/>
      <c r="K517" s="449"/>
      <c r="L517" s="449"/>
      <c r="M517" s="449"/>
      <c r="N517" s="449"/>
      <c r="O517" s="449"/>
      <c r="P517" s="449"/>
      <c r="Q517" s="449"/>
      <c r="R517" s="449"/>
      <c r="S517" s="449"/>
    </row>
    <row r="518" spans="1:19" x14ac:dyDescent="0.25">
      <c r="A518" s="449"/>
      <c r="B518" s="449"/>
      <c r="C518" s="449"/>
      <c r="D518" s="449"/>
      <c r="E518" s="449"/>
      <c r="F518" s="449"/>
      <c r="G518" s="449"/>
      <c r="H518" s="449"/>
      <c r="I518" s="449"/>
      <c r="J518" s="449"/>
      <c r="K518" s="449"/>
      <c r="L518" s="449"/>
      <c r="M518" s="449"/>
      <c r="N518" s="449"/>
      <c r="O518" s="449"/>
      <c r="P518" s="449"/>
      <c r="Q518" s="449"/>
      <c r="R518" s="449"/>
      <c r="S518" s="449"/>
    </row>
    <row r="519" spans="1:19" x14ac:dyDescent="0.25">
      <c r="A519" s="449"/>
      <c r="B519" s="449"/>
      <c r="C519" s="449"/>
      <c r="D519" s="449"/>
      <c r="E519" s="449"/>
      <c r="F519" s="449"/>
      <c r="G519" s="449"/>
      <c r="H519" s="449"/>
      <c r="I519" s="449"/>
      <c r="J519" s="449"/>
      <c r="K519" s="449"/>
      <c r="L519" s="449"/>
      <c r="M519" s="449"/>
      <c r="N519" s="449"/>
      <c r="O519" s="449"/>
      <c r="P519" s="449"/>
      <c r="Q519" s="449"/>
      <c r="R519" s="449"/>
      <c r="S519" s="449"/>
    </row>
    <row r="520" spans="1:19" x14ac:dyDescent="0.25">
      <c r="A520" s="449"/>
      <c r="B520" s="449"/>
      <c r="C520" s="449"/>
      <c r="D520" s="449"/>
      <c r="E520" s="449"/>
      <c r="F520" s="449"/>
      <c r="G520" s="449"/>
      <c r="H520" s="449"/>
      <c r="I520" s="449"/>
      <c r="J520" s="449"/>
      <c r="K520" s="449"/>
      <c r="L520" s="449"/>
      <c r="M520" s="449"/>
      <c r="N520" s="449"/>
      <c r="O520" s="449"/>
      <c r="P520" s="449"/>
      <c r="Q520" s="449"/>
      <c r="R520" s="449"/>
      <c r="S520" s="449"/>
    </row>
    <row r="521" spans="1:19" x14ac:dyDescent="0.25">
      <c r="A521" s="449"/>
      <c r="B521" s="449"/>
      <c r="C521" s="449"/>
      <c r="D521" s="449"/>
      <c r="E521" s="449"/>
      <c r="F521" s="449"/>
      <c r="G521" s="449"/>
      <c r="H521" s="449"/>
      <c r="I521" s="449"/>
      <c r="J521" s="449"/>
      <c r="K521" s="449"/>
      <c r="L521" s="449"/>
      <c r="M521" s="449"/>
      <c r="N521" s="449"/>
      <c r="O521" s="449"/>
      <c r="P521" s="449"/>
      <c r="Q521" s="449"/>
      <c r="R521" s="449"/>
      <c r="S521" s="449"/>
    </row>
    <row r="522" spans="1:19" x14ac:dyDescent="0.25">
      <c r="A522" s="449"/>
      <c r="B522" s="449"/>
      <c r="C522" s="449"/>
      <c r="D522" s="449"/>
      <c r="E522" s="449"/>
      <c r="F522" s="449"/>
      <c r="G522" s="449"/>
      <c r="H522" s="449"/>
      <c r="I522" s="449"/>
      <c r="J522" s="449"/>
      <c r="K522" s="449"/>
      <c r="L522" s="449"/>
      <c r="M522" s="449"/>
      <c r="N522" s="449"/>
      <c r="O522" s="449"/>
      <c r="P522" s="449"/>
      <c r="Q522" s="449"/>
      <c r="R522" s="449"/>
      <c r="S522" s="449"/>
    </row>
    <row r="523" spans="1:19" x14ac:dyDescent="0.25">
      <c r="A523" s="449"/>
      <c r="B523" s="449"/>
      <c r="C523" s="449"/>
      <c r="D523" s="449"/>
      <c r="E523" s="449"/>
      <c r="F523" s="449"/>
      <c r="G523" s="449"/>
      <c r="H523" s="449"/>
      <c r="I523" s="449"/>
      <c r="J523" s="449"/>
      <c r="K523" s="449"/>
      <c r="L523" s="449"/>
      <c r="M523" s="449"/>
      <c r="N523" s="449"/>
      <c r="O523" s="449"/>
      <c r="P523" s="449"/>
      <c r="Q523" s="449"/>
      <c r="R523" s="449"/>
      <c r="S523" s="449"/>
    </row>
    <row r="524" spans="1:19" x14ac:dyDescent="0.25">
      <c r="A524" s="449"/>
      <c r="B524" s="449"/>
      <c r="C524" s="449"/>
      <c r="D524" s="449"/>
      <c r="E524" s="449"/>
      <c r="F524" s="449"/>
      <c r="G524" s="449"/>
      <c r="H524" s="449"/>
      <c r="I524" s="449"/>
      <c r="J524" s="449"/>
      <c r="K524" s="449"/>
      <c r="L524" s="449"/>
      <c r="M524" s="449"/>
      <c r="N524" s="449"/>
      <c r="O524" s="449"/>
      <c r="P524" s="449"/>
      <c r="Q524" s="449"/>
      <c r="R524" s="449"/>
      <c r="S524" s="449"/>
    </row>
    <row r="525" spans="1:19" x14ac:dyDescent="0.25">
      <c r="A525" s="449"/>
      <c r="B525" s="449"/>
      <c r="C525" s="449"/>
      <c r="D525" s="449"/>
      <c r="E525" s="449"/>
      <c r="F525" s="449"/>
      <c r="G525" s="449"/>
      <c r="H525" s="449"/>
      <c r="I525" s="449"/>
      <c r="J525" s="449"/>
      <c r="K525" s="449"/>
      <c r="L525" s="449"/>
      <c r="M525" s="449"/>
      <c r="N525" s="449"/>
      <c r="O525" s="449"/>
      <c r="P525" s="449"/>
      <c r="Q525" s="449"/>
      <c r="R525" s="449"/>
      <c r="S525" s="449"/>
    </row>
    <row r="526" spans="1:19" x14ac:dyDescent="0.25">
      <c r="A526" s="449"/>
      <c r="B526" s="449"/>
      <c r="C526" s="449"/>
      <c r="D526" s="449"/>
      <c r="E526" s="449"/>
      <c r="F526" s="449"/>
      <c r="G526" s="449"/>
      <c r="H526" s="449"/>
      <c r="I526" s="449"/>
      <c r="J526" s="449"/>
      <c r="K526" s="449"/>
      <c r="L526" s="449"/>
      <c r="M526" s="449"/>
      <c r="N526" s="449"/>
      <c r="O526" s="449"/>
      <c r="P526" s="449"/>
      <c r="Q526" s="449"/>
      <c r="R526" s="449"/>
      <c r="S526" s="449"/>
    </row>
    <row r="527" spans="1:19" x14ac:dyDescent="0.25">
      <c r="A527" s="449"/>
      <c r="B527" s="449"/>
      <c r="C527" s="449"/>
      <c r="D527" s="449"/>
      <c r="E527" s="449"/>
      <c r="F527" s="449"/>
      <c r="G527" s="449"/>
      <c r="H527" s="449"/>
      <c r="I527" s="449"/>
      <c r="J527" s="449"/>
      <c r="K527" s="449"/>
      <c r="L527" s="449"/>
      <c r="M527" s="449"/>
      <c r="N527" s="449"/>
      <c r="O527" s="449"/>
      <c r="P527" s="449"/>
      <c r="Q527" s="449"/>
      <c r="R527" s="449"/>
      <c r="S527" s="449"/>
    </row>
    <row r="528" spans="1:19" x14ac:dyDescent="0.25">
      <c r="A528" s="449"/>
      <c r="B528" s="449"/>
      <c r="C528" s="449"/>
      <c r="D528" s="449"/>
      <c r="E528" s="449"/>
      <c r="F528" s="449"/>
      <c r="G528" s="449"/>
      <c r="H528" s="449"/>
      <c r="I528" s="449"/>
      <c r="J528" s="449"/>
      <c r="K528" s="449"/>
      <c r="L528" s="449"/>
      <c r="M528" s="449"/>
      <c r="N528" s="449"/>
      <c r="O528" s="449"/>
      <c r="P528" s="449"/>
      <c r="Q528" s="449"/>
      <c r="R528" s="449"/>
      <c r="S528" s="449"/>
    </row>
    <row r="529" spans="1:19" x14ac:dyDescent="0.25">
      <c r="A529" s="449"/>
      <c r="B529" s="449"/>
      <c r="C529" s="449"/>
      <c r="D529" s="449"/>
      <c r="E529" s="449"/>
      <c r="F529" s="449"/>
      <c r="G529" s="449"/>
      <c r="H529" s="449"/>
      <c r="I529" s="449"/>
      <c r="J529" s="449"/>
      <c r="K529" s="449"/>
      <c r="L529" s="449"/>
      <c r="M529" s="449"/>
      <c r="N529" s="449"/>
      <c r="O529" s="449"/>
      <c r="P529" s="449"/>
      <c r="Q529" s="449"/>
      <c r="R529" s="449"/>
      <c r="S529" s="449"/>
    </row>
    <row r="530" spans="1:19" x14ac:dyDescent="0.25">
      <c r="A530" s="449"/>
      <c r="B530" s="449"/>
      <c r="C530" s="449"/>
      <c r="D530" s="449"/>
      <c r="E530" s="449"/>
      <c r="F530" s="449"/>
      <c r="G530" s="449"/>
      <c r="H530" s="449"/>
      <c r="I530" s="449"/>
      <c r="J530" s="449"/>
      <c r="K530" s="449"/>
      <c r="L530" s="449"/>
      <c r="M530" s="449"/>
      <c r="N530" s="449"/>
      <c r="O530" s="449"/>
      <c r="P530" s="449"/>
      <c r="Q530" s="449"/>
      <c r="R530" s="449"/>
      <c r="S530" s="449"/>
    </row>
    <row r="536" spans="1:19" x14ac:dyDescent="0.25">
      <c r="A536" s="449"/>
      <c r="B536" s="449"/>
      <c r="C536" s="449"/>
      <c r="D536" s="449"/>
      <c r="E536" s="449"/>
      <c r="F536" s="449"/>
      <c r="G536" s="449"/>
      <c r="H536" s="449"/>
      <c r="I536" s="449"/>
      <c r="J536" s="449"/>
      <c r="K536" s="449"/>
      <c r="L536" s="449"/>
      <c r="M536" s="449"/>
      <c r="N536" s="449"/>
      <c r="O536" s="449"/>
      <c r="P536" s="449"/>
      <c r="Q536" s="449"/>
      <c r="R536" s="449"/>
      <c r="S536" s="449"/>
    </row>
    <row r="539" spans="1:19" x14ac:dyDescent="0.25">
      <c r="A539" s="449"/>
      <c r="B539" s="449"/>
      <c r="C539" s="449"/>
      <c r="D539" s="449"/>
      <c r="E539" s="449"/>
      <c r="F539" s="449"/>
      <c r="G539" s="449"/>
      <c r="H539" s="449"/>
      <c r="I539" s="449"/>
      <c r="J539" s="449"/>
      <c r="K539" s="449"/>
      <c r="L539" s="449"/>
      <c r="M539" s="449"/>
      <c r="N539" s="449"/>
      <c r="O539" s="449"/>
      <c r="P539" s="449"/>
      <c r="Q539" s="449"/>
      <c r="R539" s="449"/>
      <c r="S539" s="449"/>
    </row>
  </sheetData>
  <mergeCells count="3">
    <mergeCell ref="A73:Q73"/>
    <mergeCell ref="A76:Q76"/>
    <mergeCell ref="A79:Q79"/>
  </mergeCells>
  <pageMargins left="0.59055118110236227" right="0.39370078740157483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8CCE6-F989-44A7-B890-5887E2E6225B}">
  <dimension ref="A5:C21"/>
  <sheetViews>
    <sheetView workbookViewId="0">
      <selection activeCell="C17" sqref="C17"/>
    </sheetView>
  </sheetViews>
  <sheetFormatPr baseColWidth="10" defaultRowHeight="14.4" x14ac:dyDescent="0.3"/>
  <sheetData>
    <row r="5" spans="1:3" ht="15" thickBot="1" x14ac:dyDescent="0.35"/>
    <row r="6" spans="1:3" ht="15" thickBot="1" x14ac:dyDescent="0.35">
      <c r="A6" s="303"/>
      <c r="B6" s="304" t="s">
        <v>230</v>
      </c>
      <c r="C6" s="305" t="s">
        <v>5</v>
      </c>
    </row>
    <row r="7" spans="1:3" x14ac:dyDescent="0.3">
      <c r="A7" s="306" t="s">
        <v>244</v>
      </c>
      <c r="B7" s="307" t="s">
        <v>231</v>
      </c>
      <c r="C7" s="308">
        <v>0.96</v>
      </c>
    </row>
    <row r="8" spans="1:3" x14ac:dyDescent="0.3">
      <c r="A8" s="306" t="s">
        <v>229</v>
      </c>
      <c r="B8" s="307" t="s">
        <v>232</v>
      </c>
      <c r="C8" s="308">
        <v>0.97</v>
      </c>
    </row>
    <row r="9" spans="1:3" x14ac:dyDescent="0.3">
      <c r="A9" s="306" t="s">
        <v>261</v>
      </c>
      <c r="B9" s="307" t="s">
        <v>232</v>
      </c>
      <c r="C9" s="308">
        <v>0.97</v>
      </c>
    </row>
    <row r="10" spans="1:3" x14ac:dyDescent="0.3">
      <c r="A10" s="306" t="s">
        <v>237</v>
      </c>
      <c r="B10" s="307" t="s">
        <v>238</v>
      </c>
      <c r="C10" s="308">
        <v>0.98</v>
      </c>
    </row>
    <row r="11" spans="1:3" x14ac:dyDescent="0.3">
      <c r="A11" s="306" t="s">
        <v>239</v>
      </c>
      <c r="B11" s="307" t="s">
        <v>233</v>
      </c>
      <c r="C11" s="308">
        <v>0.99</v>
      </c>
    </row>
    <row r="12" spans="1:3" x14ac:dyDescent="0.3">
      <c r="A12" s="306" t="s">
        <v>248</v>
      </c>
      <c r="B12" s="307" t="s">
        <v>249</v>
      </c>
      <c r="C12" s="308">
        <v>0.99</v>
      </c>
    </row>
    <row r="13" spans="1:3" x14ac:dyDescent="0.3">
      <c r="A13" s="306" t="s">
        <v>240</v>
      </c>
      <c r="B13" s="307" t="s">
        <v>234</v>
      </c>
      <c r="C13" s="308">
        <v>1</v>
      </c>
    </row>
    <row r="14" spans="1:3" x14ac:dyDescent="0.3">
      <c r="A14" s="306" t="s">
        <v>242</v>
      </c>
      <c r="B14" s="307" t="s">
        <v>243</v>
      </c>
      <c r="C14" s="308">
        <v>1.02</v>
      </c>
    </row>
    <row r="15" spans="1:3" x14ac:dyDescent="0.3">
      <c r="A15" s="306" t="s">
        <v>245</v>
      </c>
      <c r="B15" s="307" t="s">
        <v>246</v>
      </c>
      <c r="C15" s="308"/>
    </row>
    <row r="16" spans="1:3" x14ac:dyDescent="0.3">
      <c r="A16" s="306" t="s">
        <v>630</v>
      </c>
      <c r="B16" s="307" t="s">
        <v>631</v>
      </c>
      <c r="C16" s="308">
        <v>1.02</v>
      </c>
    </row>
    <row r="17" spans="1:3" x14ac:dyDescent="0.3">
      <c r="A17" s="306" t="s">
        <v>241</v>
      </c>
      <c r="B17" s="307" t="s">
        <v>235</v>
      </c>
      <c r="C17" s="308">
        <v>1.03</v>
      </c>
    </row>
    <row r="18" spans="1:3" x14ac:dyDescent="0.3">
      <c r="A18" s="306" t="s">
        <v>284</v>
      </c>
      <c r="B18" s="307" t="s">
        <v>236</v>
      </c>
      <c r="C18" s="308">
        <v>1.05</v>
      </c>
    </row>
    <row r="19" spans="1:3" x14ac:dyDescent="0.3">
      <c r="A19" s="306"/>
      <c r="B19" s="307"/>
      <c r="C19" s="308"/>
    </row>
    <row r="20" spans="1:3" ht="15" thickBot="1" x14ac:dyDescent="0.35">
      <c r="A20" s="309"/>
      <c r="B20" s="310"/>
      <c r="C20" s="311"/>
    </row>
    <row r="21" spans="1:3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FEAE6-A5FB-47A8-B36E-F04B08D22CCC}">
  <dimension ref="A3:B144"/>
  <sheetViews>
    <sheetView workbookViewId="0">
      <selection activeCell="A6" sqref="A6"/>
    </sheetView>
  </sheetViews>
  <sheetFormatPr baseColWidth="10" defaultRowHeight="14.4" x14ac:dyDescent="0.3"/>
  <sheetData>
    <row r="3" spans="1:1" ht="20.399999999999999" x14ac:dyDescent="0.3">
      <c r="A3" s="388" t="s">
        <v>303</v>
      </c>
    </row>
    <row r="4" spans="1:1" ht="20.399999999999999" x14ac:dyDescent="0.3">
      <c r="A4" s="388" t="s">
        <v>304</v>
      </c>
    </row>
    <row r="5" spans="1:1" ht="17.399999999999999" x14ac:dyDescent="0.3">
      <c r="A5" s="389" t="s">
        <v>305</v>
      </c>
    </row>
    <row r="6" spans="1:1" ht="15.6" x14ac:dyDescent="0.3">
      <c r="A6" s="383"/>
    </row>
    <row r="7" spans="1:1" ht="15.6" x14ac:dyDescent="0.3">
      <c r="A7" s="383" t="s">
        <v>306</v>
      </c>
    </row>
    <row r="8" spans="1:1" ht="15.6" x14ac:dyDescent="0.3">
      <c r="A8" s="382"/>
    </row>
    <row r="9" spans="1:1" ht="15.6" x14ac:dyDescent="0.3">
      <c r="A9" s="383" t="s">
        <v>307</v>
      </c>
    </row>
    <row r="10" spans="1:1" ht="15.6" x14ac:dyDescent="0.3">
      <c r="A10" s="383"/>
    </row>
    <row r="11" spans="1:1" ht="15.6" x14ac:dyDescent="0.3">
      <c r="A11" s="383" t="s">
        <v>308</v>
      </c>
    </row>
    <row r="12" spans="1:1" ht="15.6" x14ac:dyDescent="0.3">
      <c r="A12" s="383"/>
    </row>
    <row r="13" spans="1:1" ht="15.6" x14ac:dyDescent="0.3">
      <c r="A13" s="383" t="s">
        <v>309</v>
      </c>
    </row>
    <row r="14" spans="1:1" ht="15.6" x14ac:dyDescent="0.3">
      <c r="A14" s="383"/>
    </row>
    <row r="15" spans="1:1" ht="15.6" x14ac:dyDescent="0.3">
      <c r="A15" s="383" t="s">
        <v>310</v>
      </c>
    </row>
    <row r="16" spans="1:1" ht="15.6" x14ac:dyDescent="0.3">
      <c r="A16" s="383"/>
    </row>
    <row r="17" spans="1:1" ht="15.6" x14ac:dyDescent="0.3">
      <c r="A17" s="383" t="s">
        <v>311</v>
      </c>
    </row>
    <row r="18" spans="1:1" ht="15.6" x14ac:dyDescent="0.3">
      <c r="A18" s="382"/>
    </row>
    <row r="19" spans="1:1" ht="15.6" x14ac:dyDescent="0.3">
      <c r="A19" s="384" t="s">
        <v>312</v>
      </c>
    </row>
    <row r="20" spans="1:1" ht="15.6" x14ac:dyDescent="0.3">
      <c r="A20" s="382"/>
    </row>
    <row r="21" spans="1:1" ht="15.6" x14ac:dyDescent="0.3">
      <c r="A21" s="382" t="s">
        <v>313</v>
      </c>
    </row>
    <row r="22" spans="1:1" ht="15.6" x14ac:dyDescent="0.3">
      <c r="A22" s="382"/>
    </row>
    <row r="23" spans="1:1" ht="15.6" x14ac:dyDescent="0.3">
      <c r="A23" s="382" t="s">
        <v>314</v>
      </c>
    </row>
    <row r="24" spans="1:1" ht="15.6" x14ac:dyDescent="0.3">
      <c r="A24" s="382"/>
    </row>
    <row r="25" spans="1:1" ht="15.6" x14ac:dyDescent="0.3">
      <c r="A25" s="382" t="s">
        <v>315</v>
      </c>
    </row>
    <row r="26" spans="1:1" ht="15.6" x14ac:dyDescent="0.3">
      <c r="A26" s="382"/>
    </row>
    <row r="27" spans="1:1" ht="15.6" x14ac:dyDescent="0.3">
      <c r="A27" s="382" t="s">
        <v>316</v>
      </c>
    </row>
    <row r="28" spans="1:1" ht="15.6" x14ac:dyDescent="0.3">
      <c r="A28" s="382"/>
    </row>
    <row r="29" spans="1:1" ht="15.6" x14ac:dyDescent="0.3">
      <c r="A29" s="382" t="s">
        <v>317</v>
      </c>
    </row>
    <row r="30" spans="1:1" ht="15.6" x14ac:dyDescent="0.3">
      <c r="A30" s="383"/>
    </row>
    <row r="31" spans="1:1" ht="15.6" x14ac:dyDescent="0.3">
      <c r="A31" s="384" t="s">
        <v>318</v>
      </c>
    </row>
    <row r="32" spans="1:1" ht="15.6" x14ac:dyDescent="0.3">
      <c r="A32" s="382"/>
    </row>
    <row r="33" spans="1:1" ht="15.6" x14ac:dyDescent="0.3">
      <c r="A33" s="382" t="s">
        <v>313</v>
      </c>
    </row>
    <row r="34" spans="1:1" ht="15.6" x14ac:dyDescent="0.3">
      <c r="A34" s="382"/>
    </row>
    <row r="35" spans="1:1" ht="15.6" x14ac:dyDescent="0.3">
      <c r="A35" s="382" t="s">
        <v>319</v>
      </c>
    </row>
    <row r="36" spans="1:1" ht="15.6" x14ac:dyDescent="0.3">
      <c r="A36" s="382"/>
    </row>
    <row r="37" spans="1:1" ht="15.6" x14ac:dyDescent="0.3">
      <c r="A37" s="382" t="s">
        <v>320</v>
      </c>
    </row>
    <row r="38" spans="1:1" ht="15.6" x14ac:dyDescent="0.3">
      <c r="A38" s="383"/>
    </row>
    <row r="39" spans="1:1" ht="15.6" x14ac:dyDescent="0.3">
      <c r="A39" s="384" t="s">
        <v>321</v>
      </c>
    </row>
    <row r="40" spans="1:1" ht="15.6" x14ac:dyDescent="0.3">
      <c r="A40" s="382" t="s">
        <v>322</v>
      </c>
    </row>
    <row r="41" spans="1:1" x14ac:dyDescent="0.3">
      <c r="A41" s="385" t="s">
        <v>323</v>
      </c>
    </row>
    <row r="42" spans="1:1" ht="15.6" x14ac:dyDescent="0.3">
      <c r="A42" s="382"/>
    </row>
    <row r="43" spans="1:1" ht="15.6" x14ac:dyDescent="0.3">
      <c r="A43" s="382" t="s">
        <v>324</v>
      </c>
    </row>
    <row r="44" spans="1:1" ht="15.6" x14ac:dyDescent="0.3">
      <c r="A44" s="382"/>
    </row>
    <row r="45" spans="1:1" ht="15.6" x14ac:dyDescent="0.3">
      <c r="A45" s="382" t="s">
        <v>325</v>
      </c>
    </row>
    <row r="46" spans="1:1" ht="15.6" x14ac:dyDescent="0.3">
      <c r="A46" s="382"/>
    </row>
    <row r="47" spans="1:1" ht="15.6" x14ac:dyDescent="0.3">
      <c r="A47" s="382" t="s">
        <v>326</v>
      </c>
    </row>
    <row r="48" spans="1:1" ht="15.6" x14ac:dyDescent="0.3">
      <c r="A48" s="383"/>
    </row>
    <row r="49" spans="1:1" ht="15.6" x14ac:dyDescent="0.3">
      <c r="A49" s="386" t="s">
        <v>327</v>
      </c>
    </row>
    <row r="50" spans="1:1" ht="15.6" x14ac:dyDescent="0.3">
      <c r="A50" s="382" t="s">
        <v>328</v>
      </c>
    </row>
    <row r="51" spans="1:1" ht="15.6" x14ac:dyDescent="0.3">
      <c r="A51" s="382"/>
    </row>
    <row r="52" spans="1:1" ht="15.6" x14ac:dyDescent="0.3">
      <c r="A52" s="383"/>
    </row>
    <row r="54" spans="1:1" ht="15.6" x14ac:dyDescent="0.3">
      <c r="A54" s="383"/>
    </row>
    <row r="55" spans="1:1" ht="15.6" x14ac:dyDescent="0.3">
      <c r="A55" s="383"/>
    </row>
    <row r="56" spans="1:1" ht="15.6" x14ac:dyDescent="0.3">
      <c r="A56" s="384" t="s">
        <v>329</v>
      </c>
    </row>
    <row r="57" spans="1:1" ht="15.6" x14ac:dyDescent="0.3">
      <c r="A57" s="383" t="s">
        <v>330</v>
      </c>
    </row>
    <row r="58" spans="1:1" ht="15.6" x14ac:dyDescent="0.3">
      <c r="A58" s="383"/>
    </row>
    <row r="59" spans="1:1" ht="15.6" x14ac:dyDescent="0.3">
      <c r="A59" s="383" t="s">
        <v>331</v>
      </c>
    </row>
    <row r="60" spans="1:1" ht="15.6" x14ac:dyDescent="0.3">
      <c r="A60" s="383"/>
    </row>
    <row r="61" spans="1:1" ht="15.6" x14ac:dyDescent="0.3">
      <c r="A61" s="383" t="s">
        <v>332</v>
      </c>
    </row>
    <row r="62" spans="1:1" ht="15.6" x14ac:dyDescent="0.3">
      <c r="A62" s="383"/>
    </row>
    <row r="63" spans="1:1" ht="15.6" x14ac:dyDescent="0.3">
      <c r="A63" s="383" t="s">
        <v>333</v>
      </c>
    </row>
    <row r="64" spans="1:1" ht="15.6" x14ac:dyDescent="0.3">
      <c r="A64" s="383"/>
    </row>
    <row r="65" spans="1:2" ht="16.2" x14ac:dyDescent="0.3">
      <c r="A65" s="383" t="s">
        <v>334</v>
      </c>
    </row>
    <row r="66" spans="1:2" ht="15.6" x14ac:dyDescent="0.3">
      <c r="A66" s="383"/>
    </row>
    <row r="67" spans="1:2" ht="15.6" x14ac:dyDescent="0.3">
      <c r="A67" s="383" t="s">
        <v>335</v>
      </c>
    </row>
    <row r="68" spans="1:2" ht="15.6" x14ac:dyDescent="0.3">
      <c r="A68" s="382"/>
    </row>
    <row r="69" spans="1:2" ht="15.6" x14ac:dyDescent="0.3">
      <c r="A69" s="383" t="s">
        <v>336</v>
      </c>
    </row>
    <row r="70" spans="1:2" ht="15.6" x14ac:dyDescent="0.3">
      <c r="A70" s="383"/>
    </row>
    <row r="71" spans="1:2" ht="15.6" x14ac:dyDescent="0.3">
      <c r="A71" s="383" t="s">
        <v>337</v>
      </c>
    </row>
    <row r="72" spans="1:2" ht="15.6" x14ac:dyDescent="0.3">
      <c r="A72" s="382"/>
    </row>
    <row r="73" spans="1:2" ht="15.6" x14ac:dyDescent="0.3">
      <c r="A73" s="383" t="s">
        <v>338</v>
      </c>
    </row>
    <row r="74" spans="1:2" ht="15.6" x14ac:dyDescent="0.3">
      <c r="A74" s="382" t="s">
        <v>339</v>
      </c>
    </row>
    <row r="75" spans="1:2" ht="15.6" x14ac:dyDescent="0.3">
      <c r="A75" s="383"/>
    </row>
    <row r="76" spans="1:2" ht="15.6" x14ac:dyDescent="0.3">
      <c r="A76" s="383"/>
    </row>
    <row r="77" spans="1:2" ht="15.6" x14ac:dyDescent="0.3">
      <c r="A77" s="384" t="s">
        <v>340</v>
      </c>
    </row>
    <row r="78" spans="1:2" ht="15.6" x14ac:dyDescent="0.3">
      <c r="A78" s="383"/>
    </row>
    <row r="79" spans="1:2" ht="15.6" x14ac:dyDescent="0.3">
      <c r="A79" s="383" t="s">
        <v>341</v>
      </c>
      <c r="B79" s="382" t="s">
        <v>342</v>
      </c>
    </row>
    <row r="80" spans="1:2" ht="15.6" x14ac:dyDescent="0.3">
      <c r="A80" s="383"/>
    </row>
    <row r="81" spans="1:2" ht="15.6" x14ac:dyDescent="0.3">
      <c r="A81" s="383" t="s">
        <v>343</v>
      </c>
    </row>
    <row r="82" spans="1:2" ht="15.6" x14ac:dyDescent="0.3">
      <c r="A82" s="383"/>
    </row>
    <row r="83" spans="1:2" ht="15.6" x14ac:dyDescent="0.3">
      <c r="A83" s="383" t="s">
        <v>344</v>
      </c>
    </row>
    <row r="84" spans="1:2" ht="15.6" x14ac:dyDescent="0.3">
      <c r="A84" s="383"/>
    </row>
    <row r="85" spans="1:2" ht="15.6" x14ac:dyDescent="0.3">
      <c r="A85" s="383" t="s">
        <v>345</v>
      </c>
    </row>
    <row r="86" spans="1:2" ht="15.6" x14ac:dyDescent="0.3">
      <c r="A86" s="382"/>
    </row>
    <row r="87" spans="1:2" ht="15.6" x14ac:dyDescent="0.3">
      <c r="A87" s="382" t="s">
        <v>346</v>
      </c>
    </row>
    <row r="88" spans="1:2" ht="15.6" x14ac:dyDescent="0.3">
      <c r="A88" s="382"/>
    </row>
    <row r="89" spans="1:2" ht="15.6" x14ac:dyDescent="0.3">
      <c r="A89" s="382" t="s">
        <v>347</v>
      </c>
    </row>
    <row r="90" spans="1:2" ht="15.6" x14ac:dyDescent="0.3">
      <c r="B90" s="382" t="s">
        <v>348</v>
      </c>
    </row>
    <row r="91" spans="1:2" ht="15.6" x14ac:dyDescent="0.3">
      <c r="A91" s="383"/>
    </row>
    <row r="92" spans="1:2" ht="15.6" x14ac:dyDescent="0.3">
      <c r="A92" s="383" t="s">
        <v>349</v>
      </c>
    </row>
    <row r="93" spans="1:2" x14ac:dyDescent="0.3">
      <c r="B93" s="385" t="s">
        <v>350</v>
      </c>
    </row>
    <row r="94" spans="1:2" ht="15.6" x14ac:dyDescent="0.3">
      <c r="A94" s="382" t="s">
        <v>351</v>
      </c>
    </row>
    <row r="95" spans="1:2" ht="15.6" x14ac:dyDescent="0.3">
      <c r="A95" s="383"/>
    </row>
    <row r="96" spans="1:2" ht="15.6" x14ac:dyDescent="0.3">
      <c r="A96" s="383" t="s">
        <v>352</v>
      </c>
    </row>
    <row r="97" spans="1:1" ht="15.6" x14ac:dyDescent="0.3">
      <c r="A97" s="383"/>
    </row>
    <row r="98" spans="1:1" ht="15.6" x14ac:dyDescent="0.3">
      <c r="A98" s="383" t="s">
        <v>353</v>
      </c>
    </row>
    <row r="99" spans="1:1" ht="15.6" x14ac:dyDescent="0.3">
      <c r="A99" s="383"/>
    </row>
    <row r="100" spans="1:1" ht="15.6" x14ac:dyDescent="0.3">
      <c r="A100" s="383" t="s">
        <v>354</v>
      </c>
    </row>
    <row r="101" spans="1:1" ht="15.6" x14ac:dyDescent="0.3">
      <c r="A101" s="383"/>
    </row>
    <row r="102" spans="1:1" ht="15.6" x14ac:dyDescent="0.3">
      <c r="A102" s="383" t="s">
        <v>355</v>
      </c>
    </row>
    <row r="103" spans="1:1" ht="15.6" x14ac:dyDescent="0.3">
      <c r="A103" s="383"/>
    </row>
    <row r="104" spans="1:1" ht="15.6" x14ac:dyDescent="0.3">
      <c r="A104" s="383" t="s">
        <v>356</v>
      </c>
    </row>
    <row r="105" spans="1:1" ht="15.6" x14ac:dyDescent="0.3">
      <c r="A105" s="383"/>
    </row>
    <row r="106" spans="1:1" ht="15.6" x14ac:dyDescent="0.3">
      <c r="A106" s="383" t="s">
        <v>357</v>
      </c>
    </row>
    <row r="107" spans="1:1" ht="15.6" x14ac:dyDescent="0.3">
      <c r="A107" s="383"/>
    </row>
    <row r="108" spans="1:1" ht="15.6" x14ac:dyDescent="0.3">
      <c r="A108" s="383" t="s">
        <v>358</v>
      </c>
    </row>
    <row r="109" spans="1:1" ht="15.6" x14ac:dyDescent="0.3">
      <c r="A109" s="383"/>
    </row>
    <row r="110" spans="1:1" ht="15.6" x14ac:dyDescent="0.3">
      <c r="A110" s="383" t="s">
        <v>359</v>
      </c>
    </row>
    <row r="111" spans="1:1" ht="15.6" x14ac:dyDescent="0.3">
      <c r="A111" s="383"/>
    </row>
    <row r="112" spans="1:1" ht="15.6" x14ac:dyDescent="0.3">
      <c r="A112" s="383" t="s">
        <v>359</v>
      </c>
    </row>
    <row r="113" spans="1:1" ht="15.6" x14ac:dyDescent="0.3">
      <c r="A113" s="382" t="s">
        <v>360</v>
      </c>
    </row>
    <row r="114" spans="1:1" ht="15.6" x14ac:dyDescent="0.3">
      <c r="A114" s="383"/>
    </row>
    <row r="115" spans="1:1" ht="15.6" x14ac:dyDescent="0.3">
      <c r="A115" s="383" t="s">
        <v>361</v>
      </c>
    </row>
    <row r="116" spans="1:1" ht="15.6" x14ac:dyDescent="0.3">
      <c r="A116" s="383"/>
    </row>
    <row r="117" spans="1:1" ht="15.6" x14ac:dyDescent="0.3">
      <c r="A117" s="383" t="s">
        <v>362</v>
      </c>
    </row>
    <row r="118" spans="1:1" ht="15.6" x14ac:dyDescent="0.3">
      <c r="A118" s="383"/>
    </row>
    <row r="119" spans="1:1" ht="15.6" x14ac:dyDescent="0.3">
      <c r="A119" s="383" t="s">
        <v>363</v>
      </c>
    </row>
    <row r="120" spans="1:1" ht="15.6" x14ac:dyDescent="0.3">
      <c r="A120" s="383"/>
    </row>
    <row r="121" spans="1:1" ht="15.6" x14ac:dyDescent="0.3">
      <c r="A121" s="384" t="s">
        <v>364</v>
      </c>
    </row>
    <row r="122" spans="1:1" ht="15.6" x14ac:dyDescent="0.3">
      <c r="A122" s="383"/>
    </row>
    <row r="123" spans="1:1" ht="15.6" x14ac:dyDescent="0.3">
      <c r="A123" s="384" t="s">
        <v>365</v>
      </c>
    </row>
    <row r="124" spans="1:1" ht="15.6" x14ac:dyDescent="0.3">
      <c r="A124" s="382" t="s">
        <v>366</v>
      </c>
    </row>
    <row r="125" spans="1:1" ht="15.6" x14ac:dyDescent="0.3">
      <c r="A125" s="382" t="s">
        <v>367</v>
      </c>
    </row>
    <row r="126" spans="1:1" ht="15.6" x14ac:dyDescent="0.3">
      <c r="A126" s="382" t="s">
        <v>368</v>
      </c>
    </row>
    <row r="127" spans="1:1" x14ac:dyDescent="0.3">
      <c r="A127" s="385" t="s">
        <v>369</v>
      </c>
    </row>
    <row r="128" spans="1:1" ht="15.6" x14ac:dyDescent="0.3">
      <c r="A128" s="383" t="s">
        <v>370</v>
      </c>
    </row>
    <row r="129" spans="1:1" x14ac:dyDescent="0.3">
      <c r="A129" s="385" t="s">
        <v>371</v>
      </c>
    </row>
    <row r="130" spans="1:1" ht="15.6" x14ac:dyDescent="0.3">
      <c r="A130" s="383"/>
    </row>
    <row r="131" spans="1:1" ht="15.6" x14ac:dyDescent="0.3">
      <c r="A131" s="384" t="s">
        <v>372</v>
      </c>
    </row>
    <row r="132" spans="1:1" ht="15.6" x14ac:dyDescent="0.3">
      <c r="A132" s="382" t="s">
        <v>373</v>
      </c>
    </row>
    <row r="133" spans="1:1" ht="15.6" x14ac:dyDescent="0.3">
      <c r="A133" s="382" t="s">
        <v>374</v>
      </c>
    </row>
    <row r="134" spans="1:1" ht="15.6" x14ac:dyDescent="0.3">
      <c r="A134" s="382"/>
    </row>
    <row r="135" spans="1:1" ht="15.6" x14ac:dyDescent="0.3">
      <c r="A135" s="384" t="s">
        <v>375</v>
      </c>
    </row>
    <row r="136" spans="1:1" ht="15.6" x14ac:dyDescent="0.3">
      <c r="A136" s="382" t="s">
        <v>376</v>
      </c>
    </row>
    <row r="137" spans="1:1" ht="15.6" x14ac:dyDescent="0.3">
      <c r="A137" s="382" t="s">
        <v>377</v>
      </c>
    </row>
    <row r="138" spans="1:1" ht="16.8" x14ac:dyDescent="0.3">
      <c r="A138" s="387" t="s">
        <v>378</v>
      </c>
    </row>
    <row r="139" spans="1:1" ht="15.6" x14ac:dyDescent="0.3">
      <c r="A139" s="382" t="s">
        <v>379</v>
      </c>
    </row>
    <row r="140" spans="1:1" ht="16.8" x14ac:dyDescent="0.3">
      <c r="A140" s="387" t="s">
        <v>380</v>
      </c>
    </row>
    <row r="141" spans="1:1" ht="15.6" x14ac:dyDescent="0.3">
      <c r="A141" s="382" t="s">
        <v>381</v>
      </c>
    </row>
    <row r="142" spans="1:1" ht="15.6" x14ac:dyDescent="0.3">
      <c r="A142" s="383" t="s">
        <v>382</v>
      </c>
    </row>
    <row r="143" spans="1:1" ht="15.6" x14ac:dyDescent="0.3">
      <c r="A143" s="382"/>
    </row>
    <row r="144" spans="1:1" ht="15.6" x14ac:dyDescent="0.3">
      <c r="A144" s="382" t="s">
        <v>383</v>
      </c>
    </row>
  </sheetData>
  <hyperlinks>
    <hyperlink ref="A41" r:id="rId1" display="http://www.jul-nielsen.no/TBF.html" xr:uid="{1D2B7E2D-CA34-4C82-BADE-43953F046129}"/>
    <hyperlink ref="B93" r:id="rId2" display="http://www.jul-nielsen.no/TBF.html" xr:uid="{05EEDFD8-2579-4F44-AB90-5D6E25EB4D7B}"/>
    <hyperlink ref="A127" r:id="rId3" display="http://www.jul-nielsen.no/TBF.html" xr:uid="{C466B276-116E-40A7-9D15-9C533BC8B96A}"/>
    <hyperlink ref="A129" r:id="rId4" display="http://www.trebatfestivalen.no/seilregatta/" xr:uid="{7D8E002F-157A-4693-B284-4EC3007835A4}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4</vt:i4>
      </vt:variant>
      <vt:variant>
        <vt:lpstr>Diagrammer</vt:lpstr>
      </vt:variant>
      <vt:variant>
        <vt:i4>1</vt:i4>
      </vt:variant>
      <vt:variant>
        <vt:lpstr>Navngitte områder</vt:lpstr>
      </vt:variant>
      <vt:variant>
        <vt:i4>42</vt:i4>
      </vt:variant>
    </vt:vector>
  </HeadingPairs>
  <TitlesOfParts>
    <vt:vector size="47" baseType="lpstr">
      <vt:lpstr>Database</vt:lpstr>
      <vt:lpstr>Påmelding</vt:lpstr>
      <vt:lpstr>Skrogform</vt:lpstr>
      <vt:lpstr>Båtdata</vt:lpstr>
      <vt:lpstr>Diagram1</vt:lpstr>
      <vt:lpstr>Ballast</vt:lpstr>
      <vt:lpstr>BmStor</vt:lpstr>
      <vt:lpstr>Bredde</vt:lpstr>
      <vt:lpstr>Depl</vt:lpstr>
      <vt:lpstr>DeplTillegg</vt:lpstr>
      <vt:lpstr>Diesel</vt:lpstr>
      <vt:lpstr>Dyp_F</vt:lpstr>
      <vt:lpstr>Dypg</vt:lpstr>
      <vt:lpstr>DypLoa</vt:lpstr>
      <vt:lpstr>ErfaringsF</vt:lpstr>
      <vt:lpstr>Kjøl</vt:lpstr>
      <vt:lpstr>LBf</vt:lpstr>
      <vt:lpstr>Lf</vt:lpstr>
      <vt:lpstr>Loa</vt:lpstr>
      <vt:lpstr>Lwl</vt:lpstr>
      <vt:lpstr>Mast</vt:lpstr>
      <vt:lpstr>PropF</vt:lpstr>
      <vt:lpstr>Rigg</vt:lpstr>
      <vt:lpstr>RiggF</vt:lpstr>
      <vt:lpstr>RS1valgt</vt:lpstr>
      <vt:lpstr>SaDeplf</vt:lpstr>
      <vt:lpstr>SAf</vt:lpstr>
      <vt:lpstr>SApRS1</vt:lpstr>
      <vt:lpstr>Seil_1</vt:lpstr>
      <vt:lpstr>Seilareal</vt:lpstr>
      <vt:lpstr>SeilBeregnet</vt:lpstr>
      <vt:lpstr>Skaleringsfaktor</vt:lpstr>
      <vt:lpstr>Skrogfaktor</vt:lpstr>
      <vt:lpstr>StH</vt:lpstr>
      <vt:lpstr>StHfaktor</vt:lpstr>
      <vt:lpstr>StorS</vt:lpstr>
      <vt:lpstr>Strikkf1</vt:lpstr>
      <vt:lpstr>Strikkf2</vt:lpstr>
      <vt:lpstr>TBF</vt:lpstr>
      <vt:lpstr>TBFavrundet</vt:lpstr>
      <vt:lpstr>Database!Utskriftsområde</vt:lpstr>
      <vt:lpstr>Påmelding!Utskriftsområde</vt:lpstr>
      <vt:lpstr>Database!Utskriftstitler</vt:lpstr>
      <vt:lpstr>Vann</vt:lpstr>
      <vt:lpstr>VektAnnet</vt:lpstr>
      <vt:lpstr>VektMotor</vt:lpstr>
      <vt:lpstr>Versjon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Jul Nielsen</dc:creator>
  <cp:lastModifiedBy>Jeppe Jul Nielsen</cp:lastModifiedBy>
  <cp:lastPrinted>2023-08-05T07:07:18Z</cp:lastPrinted>
  <dcterms:created xsi:type="dcterms:W3CDTF">2022-07-25T21:21:27Z</dcterms:created>
  <dcterms:modified xsi:type="dcterms:W3CDTF">2023-08-05T07:07:24Z</dcterms:modified>
</cp:coreProperties>
</file>